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2011г.разверн. вар-т" sheetId="1" r:id="rId1"/>
  </sheets>
  <definedNames>
    <definedName name="_xlnm.Print_Titles" localSheetId="0">'за 2011г.разверн. вар-т'!$14:$14</definedName>
  </definedNames>
  <calcPr fullCalcOnLoad="1"/>
</workbook>
</file>

<file path=xl/sharedStrings.xml><?xml version="1.0" encoding="utf-8"?>
<sst xmlns="http://schemas.openxmlformats.org/spreadsheetml/2006/main" count="229" uniqueCount="227">
  <si>
    <t>(тыс. руб.)</t>
  </si>
  <si>
    <t>Наименование доходов и расходов</t>
  </si>
  <si>
    <t>Доходы</t>
  </si>
  <si>
    <t>Безвозмездные перечисления</t>
  </si>
  <si>
    <t>в том числе:</t>
  </si>
  <si>
    <t xml:space="preserve">                                                                                                                                    </t>
  </si>
  <si>
    <t xml:space="preserve">Исполнено </t>
  </si>
  <si>
    <t>Ожидаемое поступление 4 кв. 2006 года</t>
  </si>
  <si>
    <t>Отклоне-ния                        (гр.3-2)</t>
  </si>
  <si>
    <t>Процент исполне-ния</t>
  </si>
  <si>
    <t>к решению  Совета городского округа</t>
  </si>
  <si>
    <t>город Салават Республики Башкортостан</t>
  </si>
  <si>
    <t>Приложение 1</t>
  </si>
  <si>
    <t>"Об исполнении  бюджета  городского округа</t>
  </si>
  <si>
    <t>Единый налог на вмененный доход для отдельных видов деятельности</t>
  </si>
  <si>
    <t>Единый сельскохозяйственный налог</t>
  </si>
  <si>
    <t>субвенции бюджетам гор округов на предоставление гражданам субсидий на оплату ЖКУ</t>
  </si>
  <si>
    <t>Прочие субсидии бюджетам городских округов</t>
  </si>
  <si>
    <t>субсидии бюджетам гороских округов на денежные выплаты медецинскому персоналу фельшерско-акушерских пунктов, врачам, фельшерам и медицинским сестрам скорой помощи</t>
  </si>
  <si>
    <t>субсидии бюджетам городских округов на внедрение инновационных образовательных программ</t>
  </si>
  <si>
    <t>субсидии бюджетам городских округов на обеспечение жильем молодых семей</t>
  </si>
  <si>
    <t>субсидии бюджетам городских округов на комплектование книжных фондовбиблиотек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</si>
  <si>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</si>
  <si>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</si>
  <si>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</si>
  <si>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субвенции бюджетам городских округов на поощрение лучших учителей</t>
  </si>
  <si>
    <t>На выплату единовременных пособий при всех формах устройства детей, лишенных родительского попечения в семью</t>
  </si>
  <si>
    <t>субвенции бюджетам гороских округов на ежемесячное денежное вознагрождения на ежемесяч денежное вознагрождения за классное руководство</t>
  </si>
  <si>
    <t>субвенции на осуществление мер  соц. поддержки  многодетных семей в обеспечении бесплатным питанием, шк. формой.</t>
  </si>
  <si>
    <t>Субвенции на оплату труда работников общеобразовательных учреждений</t>
  </si>
  <si>
    <t>Субвенции на социальную поддержку детей-сирот</t>
  </si>
  <si>
    <t>Субвенции на выплату пособий на детей,находящихся под опекой</t>
  </si>
  <si>
    <t>Субвенции на создание и обеспечение деятельности комиссии по делам несовершеннолетних и защите их прав</t>
  </si>
  <si>
    <t>субвенции на социальную поддержку детей сирот по выплате ежемесячного пособия на содержания детей, переданных на воспитание в приемную или патронатную семью, а также по оплате труда приемных родителей и патронатных воспитателей</t>
  </si>
  <si>
    <t xml:space="preserve">Субвенции на создание и обеспечение деятельности административных комиссий </t>
  </si>
  <si>
    <t>Субвенции на организацию и осуществление деятельности по опеке и попечительству</t>
  </si>
  <si>
    <t>Выплата пособия на содержание детей в семьях опекунов</t>
  </si>
  <si>
    <t>Субвенции бюджетам городских округов на внедрение инновационных образовательных программ</t>
  </si>
  <si>
    <t>На выплату компенсации части родит. Платы за содержание ребенка</t>
  </si>
  <si>
    <t>прочие безвозмездные поступления в бюджеты городских округов от бюджетов субъектов РФ</t>
  </si>
  <si>
    <t>Итого налоговые и неналоговые доходы</t>
  </si>
  <si>
    <t>Налог на добычу общераспространенных полезных ископаемых</t>
  </si>
  <si>
    <t>Плата за негативное воздействие на окружающую среду</t>
  </si>
  <si>
    <t>101 02010 010000110</t>
  </si>
  <si>
    <t>101 02021 010000110</t>
  </si>
  <si>
    <t>101 02022 010000110</t>
  </si>
  <si>
    <t>101 02030 010000110</t>
  </si>
  <si>
    <t>101 02040 010000110</t>
  </si>
  <si>
    <t>106 01020 04 0000 110</t>
  </si>
  <si>
    <t>106 06012 040000110</t>
  </si>
  <si>
    <t>106 06022 040000110</t>
  </si>
  <si>
    <t>105 00000 00 0000 000</t>
  </si>
  <si>
    <t>107 01020 01 0000110</t>
  </si>
  <si>
    <t>107 00000 00 0000000</t>
  </si>
  <si>
    <t>108 03010 010000110</t>
  </si>
  <si>
    <t>108 07140 010000110</t>
  </si>
  <si>
    <t>108 07150 010000110</t>
  </si>
  <si>
    <t>108 07173 010000110</t>
  </si>
  <si>
    <t>109 04050 040000110</t>
  </si>
  <si>
    <t>109 07010 040000110</t>
  </si>
  <si>
    <t>109 07030 040000110</t>
  </si>
  <si>
    <t>109 07050 04 0000110</t>
  </si>
  <si>
    <t>111 05010 04 0000 120</t>
  </si>
  <si>
    <t>111 05024 04 0000 120</t>
  </si>
  <si>
    <t>111 05034 04 0000 120</t>
  </si>
  <si>
    <t>111 07014 04 0000 120</t>
  </si>
  <si>
    <t>111 09034 04 0000 120</t>
  </si>
  <si>
    <t>111 09044 04 0000120</t>
  </si>
  <si>
    <t>112 01000 01 0000120</t>
  </si>
  <si>
    <t>113 03040 04 0000130</t>
  </si>
  <si>
    <t>114 00000 00 0000 000</t>
  </si>
  <si>
    <t>1 14 02033 040000410</t>
  </si>
  <si>
    <t>114 06012 04 0000430</t>
  </si>
  <si>
    <t>116 03010 010000140</t>
  </si>
  <si>
    <t>116 03030 010000140</t>
  </si>
  <si>
    <t>116 06000 010000140</t>
  </si>
  <si>
    <t>116 08000 010000140</t>
  </si>
  <si>
    <t>116 21040 040000140</t>
  </si>
  <si>
    <t>116 25030 010000140</t>
  </si>
  <si>
    <t>116 25050 010000140</t>
  </si>
  <si>
    <t>116 25060 010000140</t>
  </si>
  <si>
    <t>116 28000 010000140</t>
  </si>
  <si>
    <t>116 30000 010000140</t>
  </si>
  <si>
    <t>116 90040 040000140</t>
  </si>
  <si>
    <t>117 00000 000000180</t>
  </si>
  <si>
    <t>117 01040 040000180</t>
  </si>
  <si>
    <t>117 05040 040000180</t>
  </si>
  <si>
    <t>202 02009 04 0000 151</t>
  </si>
  <si>
    <t>202 02008 04 0000 151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</si>
  <si>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</si>
  <si>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</si>
  <si>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</si>
  <si>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</si>
  <si>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</si>
  <si>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</si>
  <si>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</si>
  <si>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</si>
  <si>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</si>
  <si>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ЗАДОЛЖЕННОСТЬ И ПЕРЕРАСЧЕТЫ ПО ОТМЕНЕННЫМ НАЛОГАМ, СБОРАМ И ИНЫМ ОБЯЗАТЕЛЬНЫМ ПЛАТЕЖАМ</t>
  </si>
  <si>
    <t>Налог на доходы физических лиц</t>
  </si>
  <si>
    <t>НАЛОГИ НА СОВОКУПНЫЙ ДОХОД</t>
  </si>
  <si>
    <t>101 02000 01 0000 000</t>
  </si>
  <si>
    <t>НАЛОГИ НА ИМУЩЕСТВО</t>
  </si>
  <si>
    <t>106 00000 00 0000 000</t>
  </si>
  <si>
    <t>НАЛОГИ, СБОРЫ И РЕГУЛЯРНЫЕ ПЛАТЕЖИ ЗА ПОЛЬЗОВАНИЕ ПРИРОДНЫМИ РЕСУРСАМИ</t>
  </si>
  <si>
    <t>ГОСУДАРСТВЕННАЯ ПОШЛИНА</t>
  </si>
  <si>
    <t>108 00000 00 0000000</t>
  </si>
  <si>
    <t>Земельный налог (по обязательствам, возникшим до 1 января 2006 года), мобилизуемый на территориях городских округов</t>
  </si>
  <si>
    <t>109 00000 000000000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</si>
  <si>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</si>
  <si>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</si>
  <si>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</si>
  <si>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</si>
  <si>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111 00000 00 0000000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</si>
  <si>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</si>
  <si>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</si>
  <si>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</si>
  <si>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ПЛАТЕЖИ ПРИ ПОЛЬЗОВАНИИ ПРИРОДНЫМИ РЕСУРСАМИ</t>
  </si>
  <si>
    <t>112 00000 00 0000000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</si>
  <si>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</si>
  <si>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</si>
  <si>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МАТЕРИАЛЬНЫХ И НЕМАТЕРИАЛЬНЫХ АКТИВОВ</t>
  </si>
  <si>
    <t>113 00000 00 0000000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</si>
  <si>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</si>
  <si>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116 00000 00 0000 000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</si>
  <si>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</si>
  <si>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</si>
  <si>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116 03020 020000140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</si>
  <si>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</si>
  <si>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</si>
  <si>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</si>
  <si>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</si>
  <si>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</si>
  <si>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</si>
  <si>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</si>
  <si>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</si>
  <si>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</si>
  <si>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116 33040 040000140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</si>
  <si>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</si>
  <si>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</si>
  <si>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</si>
  <si>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</si>
  <si>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</si>
  <si>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202 02024 04 0000 151</t>
  </si>
  <si>
    <t>202 02999 04 7101 151</t>
  </si>
  <si>
    <t>202 03002 04 0000 151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</si>
  <si>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</si>
  <si>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</si>
  <si>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202 03021 04 0000 151</t>
  </si>
  <si>
    <t>202 03024 04 7202 151</t>
  </si>
  <si>
    <t>202 03024 04 7203 151</t>
  </si>
  <si>
    <t>202 03024 04 7204 151</t>
  </si>
  <si>
    <t>202 03024 04 7206 151</t>
  </si>
  <si>
    <t>202 03024 04 7208 151</t>
  </si>
  <si>
    <t>202 03024 04 7209 151</t>
  </si>
  <si>
    <t>202 03024 04 7210 151</t>
  </si>
  <si>
    <t>202 03024 04 7211 151</t>
  </si>
  <si>
    <t>202 03027 04 7221 151</t>
  </si>
  <si>
    <t>202 03027 04 7222 151</t>
  </si>
  <si>
    <t>202 03027 04 7223 151</t>
  </si>
  <si>
    <t>202 03029 04 0000 151</t>
  </si>
  <si>
    <t>202 04025 04 0000 151</t>
  </si>
  <si>
    <t>город  Салават Республики Башкортостан за 2011г."</t>
  </si>
  <si>
    <t xml:space="preserve">              Доходы бюджета городского округа город Салават Республики Башкортостан  за 2011 год по кодам видов доходов, подвидов доходов, экономической классификации доходов бюджетов </t>
  </si>
  <si>
    <t>Уточненный план на 2011 год</t>
  </si>
  <si>
    <t>Отчет об исполнении за 2011 год</t>
  </si>
  <si>
    <t>202 02145 04 0000 151</t>
  </si>
  <si>
    <t>Субсидии бюджетам городских округов на модернизацию региональных систем общего образования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</si>
  <si>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</si>
  <si>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</si>
  <si>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</si>
  <si>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</si>
  <si>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Субвенции  бюджетам городских округов на создание и  обеспечение деятельности административных комиссий </t>
  </si>
  <si>
    <t>Субвенции бюджетам городских округов на организацию и осуществление деятельности по опеке и попечительству</t>
  </si>
  <si>
    <t>202 03024 04 7231 151</t>
  </si>
  <si>
    <t>202 03024 04 7232 151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</si>
  <si>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</si>
  <si>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</si>
  <si>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</si>
  <si>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Субсидии бюджетам на обеспечение жильем молодых семей</t>
  </si>
  <si>
    <t>Субсидии бюджетам городских округов на государственную поддержку малого и среднего предпринимательства,включая крестьянские (фермерские) хозяйства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</si>
  <si>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</si>
  <si>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</si>
  <si>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</si>
  <si>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</si>
  <si>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</si>
  <si>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Прочие субсидии бюджетам городских округов </t>
  </si>
  <si>
    <t>202 02999 04 7105 151</t>
  </si>
  <si>
    <t>Субсидии на софинансирование расходов по подготовке объектов жилищно-коммунального хозяйства к работе осенне-зимний период</t>
  </si>
  <si>
    <t>202 02999 04 7107 151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</si>
  <si>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</si>
  <si>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202 02999 04 7212 151</t>
  </si>
  <si>
    <t>202 02999 04 7213 151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</si>
  <si>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</si>
  <si>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</si>
  <si>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Субвенции бюджетам городских округов на  ежемесячное денежное вознаграждение за классное руководство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</si>
  <si>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</si>
  <si>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социальную поддержку  детей-сирот и детей, оставшихся без попечения родителей, в учреждениях образования</t>
  </si>
  <si>
    <t xml:space="preserve"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 </t>
  </si>
  <si>
    <t xml:space="preserve">Субвенции бюджетам городских округов на отдых и оздоровление детей-сирот и детей, оставшихся без попечения родителей, за счет средств бюджета Республики Башкортостан </t>
  </si>
  <si>
    <t>Субвенции бюджетам городских округов на содержание  ребенка в приемной семье</t>
  </si>
  <si>
    <t>Субвенции бюджетам городских округов на выплату вознаграждения, причитающегося приемному родителю</t>
  </si>
  <si>
    <t xml:space="preserve">Субвенции бюджетам городских округов на содержание ребенка в семье опекуна 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</si>
  <si>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</si>
  <si>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</si>
  <si>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202 04999 04 7309 151</t>
  </si>
  <si>
    <t>Прочие межбюджетные трансферты, передаваемые бюджетам городских округов (Президентская программа "Молодежь Башкортостана")</t>
  </si>
  <si>
    <t xml:space="preserve">202 04999 04 7314 151 </t>
  </si>
  <si>
    <t xml:space="preserve">202 09023 04 7301 151 </t>
  </si>
  <si>
    <t>Прочие безвозмездные поступления в бюджеты городских округов от бюджетов субъектов Российской Федерации</t>
  </si>
  <si>
    <t>207 04000 04 0000 180</t>
  </si>
  <si>
    <t>Прочие безвозмездные поступления в бюджеты городских округов</t>
  </si>
  <si>
    <t>219 04000 04 0000 151</t>
  </si>
  <si>
    <t>Возврат остатков субсидий, субвенций и иных межбюджетных трансфертов, имеющих целевое назначение, прошлых лет  из бюджетов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</si>
  <si>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Федерации,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</si>
  <si>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</si>
  <si>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виде стоимости патента в связи с применением упрощенной системы налогообложения</t>
  </si>
  <si>
    <t>105 01040 00 0000 110</t>
  </si>
  <si>
    <t>105 02000 00 0000 110</t>
  </si>
  <si>
    <t>105 03000 00 0000 110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</si>
  <si>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</si>
  <si>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</si>
  <si>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</si>
  <si>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</si>
  <si>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</si>
  <si>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действовашей статьи 117 Налогового кодекса  Российской Федерации</t>
  </si>
  <si>
    <t xml:space="preserve"> от 26 апреля 2012 г. № 3-2/22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</si>
</sst>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_(* #,##0.0_);_(* \(#,##0.0\);_(* &quot;-&quot;??_);_(@_)"/>
    <numFmt numFmtId="188" formatCode="_-* #,##0.0_р_._-;\-* #,##0.0_р_._-;_-* &quot;-&quot;?_р_._-;_-@_-"/>
    <numFmt numFmtId="189" formatCode="#,##0.000"/>
  </numFmts>
  <fonts count="49">
    <font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6"/>
      <name val="Arial"/>
      <family val="0"/>
    </font>
    <font>
      <b/>
      <i/>
      <sz val="12"/>
      <name val="Arial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5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left" indent="15"/>
    </xf>
    <xf numFmtId="184" fontId="1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86" fontId="3" fillId="0" borderId="10" xfId="6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8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6" fontId="4" fillId="0" borderId="10" xfId="60" applyNumberFormat="1" applyFont="1" applyBorder="1" applyAlignment="1">
      <alignment horizontal="center" vertical="center" wrapText="1"/>
    </xf>
    <xf numFmtId="186" fontId="5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/>
    </xf>
    <xf numFmtId="186" fontId="10" fillId="0" borderId="10" xfId="60" applyNumberFormat="1" applyFont="1" applyBorder="1" applyAlignment="1">
      <alignment horizontal="center" vertical="center" wrapText="1"/>
    </xf>
    <xf numFmtId="186" fontId="11" fillId="0" borderId="10" xfId="6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8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12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vertical="center" wrapText="1" readingOrder="1"/>
    </xf>
    <xf numFmtId="0" fontId="3" fillId="0" borderId="10" xfId="0" applyFont="1" applyBorder="1" applyAlignment="1">
      <alignment/>
    </xf>
    <xf numFmtId="186" fontId="10" fillId="0" borderId="10" xfId="60" applyNumberFormat="1" applyFont="1" applyFill="1" applyBorder="1" applyAlignment="1">
      <alignment horizontal="center" vertical="center" wrapText="1"/>
    </xf>
    <xf numFmtId="186" fontId="11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186" fontId="3" fillId="0" borderId="10" xfId="6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vertical="top" wrapText="1"/>
    </xf>
    <xf numFmtId="186" fontId="7" fillId="0" borderId="10" xfId="60" applyNumberFormat="1" applyFont="1" applyFill="1" applyBorder="1" applyAlignment="1">
      <alignment horizontal="center" vertical="center" wrapText="1"/>
    </xf>
    <xf numFmtId="186" fontId="8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12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186" fontId="11" fillId="33" borderId="10" xfId="6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86" fontId="3" fillId="0" borderId="11" xfId="6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6" fontId="1" fillId="0" borderId="11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center"/>
    </xf>
    <xf numFmtId="0" fontId="9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Normal="75" zoomScaleSheetLayoutView="100" zoomScalePageLayoutView="0" workbookViewId="0" topLeftCell="A1">
      <selection activeCell="C4" sqref="C4:H4"/>
    </sheetView>
  </sheetViews>
  <sheetFormatPr defaultColWidth="9.140625" defaultRowHeight="12.75"/>
  <cols>
    <col min="1" max="1" width="26.00390625" style="76" customWidth="1"/>
    <col min="2" max="2" width="41.8515625" style="3" customWidth="1"/>
    <col min="3" max="3" width="14.7109375" style="1" customWidth="1"/>
    <col min="4" max="4" width="17.140625" style="1" hidden="1" customWidth="1"/>
    <col min="5" max="5" width="14.57421875" style="1" hidden="1" customWidth="1"/>
    <col min="6" max="6" width="14.7109375" style="1" customWidth="1"/>
    <col min="7" max="7" width="10.28125" style="13" customWidth="1"/>
    <col min="8" max="8" width="11.421875" style="1" customWidth="1"/>
    <col min="9" max="9" width="17.00390625" style="4" customWidth="1"/>
    <col min="10" max="10" width="14.140625" style="4" customWidth="1"/>
    <col min="11" max="16384" width="9.140625" style="1" customWidth="1"/>
  </cols>
  <sheetData>
    <row r="1" spans="3:8" ht="15.75">
      <c r="C1" s="93" t="s">
        <v>12</v>
      </c>
      <c r="D1" s="93"/>
      <c r="E1" s="93"/>
      <c r="F1" s="93"/>
      <c r="G1" s="93"/>
      <c r="H1" s="93"/>
    </row>
    <row r="2" spans="3:8" ht="15.75">
      <c r="C2" s="92" t="s">
        <v>10</v>
      </c>
      <c r="D2" s="92"/>
      <c r="E2" s="92"/>
      <c r="F2" s="92"/>
      <c r="G2" s="92"/>
      <c r="H2" s="92"/>
    </row>
    <row r="3" spans="2:8" ht="15.75">
      <c r="B3" s="15"/>
      <c r="C3" s="92" t="s">
        <v>11</v>
      </c>
      <c r="D3" s="92"/>
      <c r="E3" s="92"/>
      <c r="F3" s="92"/>
      <c r="G3" s="92"/>
      <c r="H3" s="92"/>
    </row>
    <row r="4" spans="2:8" ht="15.75">
      <c r="B4" s="15"/>
      <c r="C4" s="92" t="s">
        <v>226</v>
      </c>
      <c r="D4" s="92"/>
      <c r="E4" s="92"/>
      <c r="F4" s="92"/>
      <c r="G4" s="92"/>
      <c r="H4" s="92"/>
    </row>
    <row r="5" spans="2:8" ht="15.75">
      <c r="B5" s="16"/>
      <c r="C5" s="92" t="s">
        <v>13</v>
      </c>
      <c r="D5" s="92"/>
      <c r="E5" s="92"/>
      <c r="F5" s="92"/>
      <c r="G5" s="92"/>
      <c r="H5" s="92"/>
    </row>
    <row r="6" spans="2:8" ht="30" customHeight="1">
      <c r="B6" s="2"/>
      <c r="C6" s="93" t="s">
        <v>162</v>
      </c>
      <c r="D6" s="93"/>
      <c r="E6" s="93"/>
      <c r="F6" s="93"/>
      <c r="G6" s="93"/>
      <c r="H6" s="93"/>
    </row>
    <row r="7" spans="2:8" ht="15.75">
      <c r="B7" s="2"/>
      <c r="C7" s="5"/>
      <c r="D7" s="6"/>
      <c r="E7" s="6"/>
      <c r="F7" s="6"/>
      <c r="G7" s="8"/>
      <c r="H7" s="6"/>
    </row>
    <row r="8" spans="1:8" ht="45.75" customHeight="1">
      <c r="A8" s="90" t="s">
        <v>163</v>
      </c>
      <c r="B8" s="94"/>
      <c r="C8" s="94"/>
      <c r="D8" s="94"/>
      <c r="E8" s="94"/>
      <c r="F8" s="94"/>
      <c r="G8" s="94"/>
      <c r="H8" s="94"/>
    </row>
    <row r="9" spans="2:8" ht="15.75">
      <c r="B9" s="90"/>
      <c r="C9" s="91"/>
      <c r="D9" s="91"/>
      <c r="E9" s="91"/>
      <c r="F9" s="91"/>
      <c r="G9" s="91"/>
      <c r="H9" s="6"/>
    </row>
    <row r="10" spans="2:8" ht="15.75">
      <c r="B10" s="15"/>
      <c r="C10" s="9"/>
      <c r="D10" s="6"/>
      <c r="E10" s="6"/>
      <c r="F10" s="6"/>
      <c r="G10" s="8"/>
      <c r="H10" s="6"/>
    </row>
    <row r="11" spans="2:8" ht="15.75">
      <c r="B11" s="16" t="s">
        <v>5</v>
      </c>
      <c r="C11" s="7"/>
      <c r="D11" s="6"/>
      <c r="E11" s="6"/>
      <c r="F11" s="6"/>
      <c r="G11" s="8"/>
      <c r="H11" s="6" t="s">
        <v>0</v>
      </c>
    </row>
    <row r="12" spans="2:8" ht="15.75">
      <c r="B12" s="15"/>
      <c r="C12" s="10"/>
      <c r="D12" s="6"/>
      <c r="E12" s="6"/>
      <c r="F12" s="6"/>
      <c r="G12" s="8"/>
      <c r="H12" s="6"/>
    </row>
    <row r="13" spans="1:8" ht="47.25">
      <c r="A13" s="79"/>
      <c r="B13" s="23" t="s">
        <v>1</v>
      </c>
      <c r="C13" s="23" t="s">
        <v>164</v>
      </c>
      <c r="D13" s="23" t="s">
        <v>7</v>
      </c>
      <c r="E13" s="23" t="s">
        <v>6</v>
      </c>
      <c r="F13" s="23" t="s">
        <v>165</v>
      </c>
      <c r="G13" s="24" t="s">
        <v>9</v>
      </c>
      <c r="H13" s="23" t="s">
        <v>8</v>
      </c>
    </row>
    <row r="14" spans="1:8" ht="15.75">
      <c r="A14" s="79"/>
      <c r="B14" s="23">
        <v>1</v>
      </c>
      <c r="C14" s="23">
        <v>2</v>
      </c>
      <c r="D14" s="23">
        <v>3</v>
      </c>
      <c r="E14" s="23">
        <v>4</v>
      </c>
      <c r="F14" s="23">
        <v>3</v>
      </c>
      <c r="G14" s="25">
        <v>4</v>
      </c>
      <c r="H14" s="23">
        <v>5</v>
      </c>
    </row>
    <row r="15" spans="1:8" ht="15.75">
      <c r="A15" s="79"/>
      <c r="B15" s="17" t="s">
        <v>2</v>
      </c>
      <c r="C15" s="18">
        <f>SUM(C73+C74)</f>
        <v>1825700.8661099998</v>
      </c>
      <c r="D15" s="18" t="e">
        <f>SUM(D73+D74)</f>
        <v>#REF!</v>
      </c>
      <c r="E15" s="18" t="e">
        <f>SUM(E73+E74)</f>
        <v>#REF!</v>
      </c>
      <c r="F15" s="18">
        <f>SUM(F73+F74)</f>
        <v>1867121.7119999998</v>
      </c>
      <c r="G15" s="22">
        <f>F15/C15*100</f>
        <v>102.26876410363188</v>
      </c>
      <c r="H15" s="22">
        <f aca="true" t="shared" si="0" ref="H15:H48">SUM(F15-C15)</f>
        <v>41420.84589</v>
      </c>
    </row>
    <row r="16" spans="1:10" s="59" customFormat="1" ht="20.25">
      <c r="A16" s="84" t="s">
        <v>101</v>
      </c>
      <c r="B16" s="55" t="s">
        <v>99</v>
      </c>
      <c r="C16" s="56">
        <f>C17+C18+C19+C20+C21</f>
        <v>452236.4</v>
      </c>
      <c r="D16" s="56">
        <f>D17+D18+D19+D20+D21</f>
        <v>0</v>
      </c>
      <c r="E16" s="56">
        <f>E17+E18+E19+E20+E21</f>
        <v>0</v>
      </c>
      <c r="F16" s="56">
        <f>F17+F18+F19+F20+F21</f>
        <v>478870.76</v>
      </c>
      <c r="G16" s="56">
        <f aca="true" t="shared" si="1" ref="G16:G48">F16/C16*100</f>
        <v>105.88947727339064</v>
      </c>
      <c r="H16" s="56">
        <f t="shared" si="0"/>
        <v>26634.359999999986</v>
      </c>
      <c r="I16" s="57"/>
      <c r="J16" s="58"/>
    </row>
    <row r="17" spans="1:10" ht="102" customHeight="1">
      <c r="A17" s="85" t="s">
        <v>43</v>
      </c>
      <c r="B17" s="19" t="s">
        <v>214</v>
      </c>
      <c r="C17" s="14">
        <v>4920.2</v>
      </c>
      <c r="D17" s="14"/>
      <c r="E17" s="14"/>
      <c r="F17" s="14">
        <v>5339.85</v>
      </c>
      <c r="G17" s="14">
        <f>F17/C17*100</f>
        <v>108.5291248323239</v>
      </c>
      <c r="H17" s="14">
        <f t="shared" si="0"/>
        <v>419.65000000000055</v>
      </c>
      <c r="J17" s="11"/>
    </row>
    <row r="18" spans="1:10" ht="162" customHeight="1">
      <c r="A18" s="85" t="s">
        <v>44</v>
      </c>
      <c r="B18" s="52" t="s">
        <v>89</v>
      </c>
      <c r="C18" s="14">
        <v>443932.8</v>
      </c>
      <c r="D18" s="14"/>
      <c r="E18" s="14"/>
      <c r="F18" s="14">
        <v>469919.69</v>
      </c>
      <c r="G18" s="14">
        <f t="shared" si="1"/>
        <v>105.85378913204882</v>
      </c>
      <c r="H18" s="14">
        <f t="shared" si="0"/>
        <v>25986.890000000014</v>
      </c>
      <c r="J18" s="11"/>
    </row>
    <row r="19" spans="1:10" ht="150" customHeight="1">
      <c r="A19" s="85" t="s">
        <v>45</v>
      </c>
      <c r="B19" s="52" t="s">
        <v>90</v>
      </c>
      <c r="C19" s="14">
        <v>2844.4</v>
      </c>
      <c r="D19" s="14"/>
      <c r="E19" s="14"/>
      <c r="F19" s="14">
        <v>2917.61</v>
      </c>
      <c r="G19" s="14">
        <f t="shared" si="1"/>
        <v>102.57382927858248</v>
      </c>
      <c r="H19" s="14">
        <f t="shared" si="0"/>
        <v>73.21000000000004</v>
      </c>
      <c r="J19" s="11"/>
    </row>
    <row r="20" spans="1:10" ht="69" customHeight="1">
      <c r="A20" s="85" t="s">
        <v>46</v>
      </c>
      <c r="B20" s="19" t="s">
        <v>91</v>
      </c>
      <c r="C20" s="14">
        <v>13.6</v>
      </c>
      <c r="D20" s="14"/>
      <c r="E20" s="14"/>
      <c r="F20" s="14">
        <v>14.58</v>
      </c>
      <c r="G20" s="14">
        <f t="shared" si="1"/>
        <v>107.20588235294117</v>
      </c>
      <c r="H20" s="14">
        <f t="shared" si="0"/>
        <v>0.9800000000000004</v>
      </c>
      <c r="J20" s="11"/>
    </row>
    <row r="21" spans="1:10" ht="142.5" customHeight="1">
      <c r="A21" s="85" t="s">
        <v>47</v>
      </c>
      <c r="B21" s="52" t="s">
        <v>215</v>
      </c>
      <c r="C21" s="14">
        <v>525.4</v>
      </c>
      <c r="D21" s="14"/>
      <c r="E21" s="14"/>
      <c r="F21" s="14">
        <v>679.03</v>
      </c>
      <c r="G21" s="14">
        <f t="shared" si="1"/>
        <v>129.24057860677578</v>
      </c>
      <c r="H21" s="14">
        <f t="shared" si="0"/>
        <v>153.63</v>
      </c>
      <c r="J21" s="11"/>
    </row>
    <row r="22" spans="1:10" s="48" customFormat="1" ht="15.75">
      <c r="A22" s="86" t="s">
        <v>51</v>
      </c>
      <c r="B22" s="60" t="s">
        <v>100</v>
      </c>
      <c r="C22" s="41">
        <f>C24+C25+C23</f>
        <v>76239.3</v>
      </c>
      <c r="D22" s="41">
        <f>D24+D25+D23</f>
        <v>0</v>
      </c>
      <c r="E22" s="41">
        <f>E24+E25+E23</f>
        <v>0</v>
      </c>
      <c r="F22" s="41">
        <f>F24+F25+F23</f>
        <v>77915.82</v>
      </c>
      <c r="G22" s="42">
        <f t="shared" si="1"/>
        <v>102.199023338357</v>
      </c>
      <c r="H22" s="42">
        <f t="shared" si="0"/>
        <v>1676.520000000004</v>
      </c>
      <c r="I22" s="46"/>
      <c r="J22" s="47"/>
    </row>
    <row r="23" spans="1:10" s="31" customFormat="1" ht="51" customHeight="1">
      <c r="A23" s="49" t="s">
        <v>217</v>
      </c>
      <c r="B23" s="43" t="s">
        <v>216</v>
      </c>
      <c r="C23" s="41">
        <v>906.3</v>
      </c>
      <c r="D23" s="41"/>
      <c r="E23" s="41"/>
      <c r="F23" s="41">
        <v>1043.46</v>
      </c>
      <c r="G23" s="14">
        <f t="shared" si="1"/>
        <v>115.1340615690169</v>
      </c>
      <c r="H23" s="14">
        <f>SUM(F23-C23)</f>
        <v>137.16000000000008</v>
      </c>
      <c r="I23" s="29"/>
      <c r="J23" s="30"/>
    </row>
    <row r="24" spans="1:10" ht="33.75" customHeight="1">
      <c r="A24" s="49" t="s">
        <v>218</v>
      </c>
      <c r="B24" s="20" t="s">
        <v>14</v>
      </c>
      <c r="C24" s="21">
        <v>75321.8</v>
      </c>
      <c r="D24" s="14"/>
      <c r="E24" s="14"/>
      <c r="F24" s="14">
        <v>76860.19</v>
      </c>
      <c r="G24" s="14">
        <f t="shared" si="1"/>
        <v>102.04242330905528</v>
      </c>
      <c r="H24" s="14">
        <f t="shared" si="0"/>
        <v>1538.3899999999994</v>
      </c>
      <c r="J24" s="11"/>
    </row>
    <row r="25" spans="1:10" ht="15.75">
      <c r="A25" s="49" t="s">
        <v>219</v>
      </c>
      <c r="B25" s="20" t="s">
        <v>15</v>
      </c>
      <c r="C25" s="21">
        <v>11.2</v>
      </c>
      <c r="D25" s="14"/>
      <c r="E25" s="14"/>
      <c r="F25" s="14">
        <v>12.17</v>
      </c>
      <c r="G25" s="14">
        <f t="shared" si="1"/>
        <v>108.66071428571429</v>
      </c>
      <c r="H25" s="14">
        <f t="shared" si="0"/>
        <v>0.9700000000000006</v>
      </c>
      <c r="J25" s="11"/>
    </row>
    <row r="26" spans="1:10" s="48" customFormat="1" ht="15.75">
      <c r="A26" s="49" t="s">
        <v>103</v>
      </c>
      <c r="B26" s="60" t="s">
        <v>102</v>
      </c>
      <c r="C26" s="41">
        <f>SUM(C27:C29)</f>
        <v>302197.8</v>
      </c>
      <c r="D26" s="41">
        <f>SUM(D27:D29)</f>
        <v>0</v>
      </c>
      <c r="E26" s="41">
        <f>SUM(E27:E29)</f>
        <v>0</v>
      </c>
      <c r="F26" s="41">
        <f>SUM(F27:F29)</f>
        <v>302852.39999999997</v>
      </c>
      <c r="G26" s="42">
        <f t="shared" si="1"/>
        <v>100.21661309248444</v>
      </c>
      <c r="H26" s="42">
        <f t="shared" si="0"/>
        <v>654.5999999999767</v>
      </c>
      <c r="I26" s="46"/>
      <c r="J26" s="47"/>
    </row>
    <row r="27" spans="1:10" ht="83.25" customHeight="1">
      <c r="A27" s="49" t="s">
        <v>48</v>
      </c>
      <c r="B27" s="20" t="s">
        <v>92</v>
      </c>
      <c r="C27" s="21">
        <v>3878.7</v>
      </c>
      <c r="D27" s="14"/>
      <c r="E27" s="14"/>
      <c r="F27" s="14">
        <v>4200.28</v>
      </c>
      <c r="G27" s="14">
        <f t="shared" si="1"/>
        <v>108.29092221620647</v>
      </c>
      <c r="H27" s="14">
        <f t="shared" si="0"/>
        <v>321.5799999999999</v>
      </c>
      <c r="J27" s="11"/>
    </row>
    <row r="28" spans="1:10" ht="123.75" customHeight="1">
      <c r="A28" s="49" t="s">
        <v>49</v>
      </c>
      <c r="B28" s="32" t="s">
        <v>93</v>
      </c>
      <c r="C28" s="21">
        <v>258.9</v>
      </c>
      <c r="D28" s="14"/>
      <c r="E28" s="14"/>
      <c r="F28" s="14">
        <v>264.95</v>
      </c>
      <c r="G28" s="14">
        <f t="shared" si="1"/>
        <v>102.33680957898802</v>
      </c>
      <c r="H28" s="14">
        <f t="shared" si="0"/>
        <v>6.050000000000011</v>
      </c>
      <c r="J28" s="11"/>
    </row>
    <row r="29" spans="1:10" ht="121.5" customHeight="1">
      <c r="A29" s="49" t="s">
        <v>50</v>
      </c>
      <c r="B29" s="32" t="s">
        <v>94</v>
      </c>
      <c r="C29" s="21">
        <v>298060.2</v>
      </c>
      <c r="D29" s="14"/>
      <c r="E29" s="14"/>
      <c r="F29" s="14">
        <v>298387.17</v>
      </c>
      <c r="G29" s="14">
        <f t="shared" si="1"/>
        <v>100.1096993157758</v>
      </c>
      <c r="H29" s="14">
        <f t="shared" si="0"/>
        <v>326.96999999997206</v>
      </c>
      <c r="J29" s="11"/>
    </row>
    <row r="30" spans="1:10" s="64" customFormat="1" ht="46.5" customHeight="1">
      <c r="A30" s="49" t="s">
        <v>53</v>
      </c>
      <c r="B30" s="61" t="s">
        <v>104</v>
      </c>
      <c r="C30" s="45">
        <f>SUM(C31)</f>
        <v>345.6</v>
      </c>
      <c r="D30" s="45">
        <f>SUM(D31)</f>
        <v>0</v>
      </c>
      <c r="E30" s="45">
        <f>SUM(E31)</f>
        <v>0</v>
      </c>
      <c r="F30" s="45">
        <f>SUM(F31)</f>
        <v>365.52</v>
      </c>
      <c r="G30" s="45">
        <f t="shared" si="1"/>
        <v>105.76388888888889</v>
      </c>
      <c r="H30" s="45">
        <f t="shared" si="0"/>
        <v>19.91999999999996</v>
      </c>
      <c r="I30" s="62"/>
      <c r="J30" s="63"/>
    </row>
    <row r="31" spans="1:10" ht="34.5" customHeight="1">
      <c r="A31" s="50" t="s">
        <v>52</v>
      </c>
      <c r="B31" s="44" t="s">
        <v>41</v>
      </c>
      <c r="C31" s="21">
        <v>345.6</v>
      </c>
      <c r="D31" s="14"/>
      <c r="E31" s="14"/>
      <c r="F31" s="14">
        <v>365.52</v>
      </c>
      <c r="G31" s="45">
        <f>F31/C31*100</f>
        <v>105.76388888888889</v>
      </c>
      <c r="H31" s="45">
        <f>SUM(F31-C31)</f>
        <v>19.91999999999996</v>
      </c>
      <c r="J31" s="11"/>
    </row>
    <row r="32" spans="1:10" s="48" customFormat="1" ht="15.75">
      <c r="A32" s="50" t="s">
        <v>106</v>
      </c>
      <c r="B32" s="60" t="s">
        <v>105</v>
      </c>
      <c r="C32" s="41">
        <f>SUM(C33:C36)</f>
        <v>33593.5</v>
      </c>
      <c r="D32" s="41">
        <f>SUM(D33:D36)</f>
        <v>0</v>
      </c>
      <c r="E32" s="41">
        <f>SUM(E33:E36)</f>
        <v>0</v>
      </c>
      <c r="F32" s="41">
        <f>SUM(F33:F36)</f>
        <v>35328.81</v>
      </c>
      <c r="G32" s="42">
        <f t="shared" si="1"/>
        <v>105.16561239525504</v>
      </c>
      <c r="H32" s="42">
        <f t="shared" si="0"/>
        <v>1735.3099999999977</v>
      </c>
      <c r="I32" s="65"/>
      <c r="J32" s="47"/>
    </row>
    <row r="33" spans="1:10" s="31" customFormat="1" ht="87" customHeight="1">
      <c r="A33" s="49" t="s">
        <v>54</v>
      </c>
      <c r="B33" s="33" t="s">
        <v>95</v>
      </c>
      <c r="C33" s="21">
        <v>8310.9</v>
      </c>
      <c r="D33" s="14"/>
      <c r="E33" s="14"/>
      <c r="F33" s="14">
        <v>8968.45</v>
      </c>
      <c r="G33" s="14">
        <f t="shared" si="1"/>
        <v>107.91189883165482</v>
      </c>
      <c r="H33" s="14">
        <f t="shared" si="0"/>
        <v>657.5500000000011</v>
      </c>
      <c r="I33" s="29"/>
      <c r="J33" s="30"/>
    </row>
    <row r="34" spans="1:10" s="31" customFormat="1" ht="123" customHeight="1">
      <c r="A34" s="49" t="s">
        <v>55</v>
      </c>
      <c r="B34" s="53" t="s">
        <v>220</v>
      </c>
      <c r="C34" s="21">
        <v>25120</v>
      </c>
      <c r="D34" s="14"/>
      <c r="E34" s="14"/>
      <c r="F34" s="14">
        <v>26194.11</v>
      </c>
      <c r="G34" s="14">
        <f t="shared" si="1"/>
        <v>104.27591560509555</v>
      </c>
      <c r="H34" s="14">
        <f t="shared" si="0"/>
        <v>1074.1100000000006</v>
      </c>
      <c r="I34" s="29"/>
      <c r="J34" s="30"/>
    </row>
    <row r="35" spans="1:10" s="31" customFormat="1" ht="60" customHeight="1">
      <c r="A35" s="49" t="s">
        <v>56</v>
      </c>
      <c r="B35" s="33" t="s">
        <v>96</v>
      </c>
      <c r="C35" s="21">
        <v>33</v>
      </c>
      <c r="D35" s="14"/>
      <c r="E35" s="14"/>
      <c r="F35" s="14">
        <v>36</v>
      </c>
      <c r="G35" s="14">
        <f t="shared" si="1"/>
        <v>109.09090909090908</v>
      </c>
      <c r="H35" s="14">
        <f t="shared" si="0"/>
        <v>3</v>
      </c>
      <c r="I35" s="29"/>
      <c r="J35" s="30"/>
    </row>
    <row r="36" spans="1:10" s="31" customFormat="1" ht="156" customHeight="1">
      <c r="A36" s="49" t="s">
        <v>57</v>
      </c>
      <c r="B36" s="54" t="s">
        <v>97</v>
      </c>
      <c r="C36" s="21">
        <v>129.6</v>
      </c>
      <c r="D36" s="14"/>
      <c r="E36" s="14"/>
      <c r="F36" s="14">
        <v>130.25</v>
      </c>
      <c r="G36" s="14">
        <f t="shared" si="1"/>
        <v>100.50154320987654</v>
      </c>
      <c r="H36" s="14">
        <f t="shared" si="0"/>
        <v>0.6500000000000057</v>
      </c>
      <c r="I36" s="29"/>
      <c r="J36" s="30"/>
    </row>
    <row r="37" spans="1:10" s="48" customFormat="1" ht="64.5" customHeight="1">
      <c r="A37" s="49" t="s">
        <v>108</v>
      </c>
      <c r="B37" s="66" t="s">
        <v>98</v>
      </c>
      <c r="C37" s="42">
        <f>C38+C39+C40+C41</f>
        <v>100</v>
      </c>
      <c r="D37" s="42">
        <f>SUM(D38:D41)</f>
        <v>0</v>
      </c>
      <c r="E37" s="42">
        <f>SUM(E38:E41)</f>
        <v>0</v>
      </c>
      <c r="F37" s="42">
        <f>SUM(F38:F41)</f>
        <v>185.59</v>
      </c>
      <c r="G37" s="45">
        <f t="shared" si="1"/>
        <v>185.59</v>
      </c>
      <c r="H37" s="42">
        <f t="shared" si="0"/>
        <v>85.59</v>
      </c>
      <c r="I37" s="67"/>
      <c r="J37" s="47"/>
    </row>
    <row r="38" spans="1:10" s="31" customFormat="1" ht="68.25" customHeight="1">
      <c r="A38" s="49" t="s">
        <v>58</v>
      </c>
      <c r="B38" s="33" t="s">
        <v>107</v>
      </c>
      <c r="C38" s="14">
        <v>100</v>
      </c>
      <c r="D38" s="14"/>
      <c r="E38" s="14"/>
      <c r="F38" s="14">
        <v>181.78</v>
      </c>
      <c r="G38" s="14">
        <f t="shared" si="1"/>
        <v>181.78</v>
      </c>
      <c r="H38" s="14">
        <f t="shared" si="0"/>
        <v>81.78</v>
      </c>
      <c r="I38" s="34"/>
      <c r="J38" s="30"/>
    </row>
    <row r="39" spans="1:10" s="31" customFormat="1" ht="51.75" customHeight="1">
      <c r="A39" s="49" t="s">
        <v>59</v>
      </c>
      <c r="B39" s="32" t="s">
        <v>109</v>
      </c>
      <c r="C39" s="14">
        <v>0</v>
      </c>
      <c r="D39" s="14"/>
      <c r="E39" s="14"/>
      <c r="F39" s="14">
        <v>-0.25</v>
      </c>
      <c r="G39" s="14" t="e">
        <f t="shared" si="1"/>
        <v>#DIV/0!</v>
      </c>
      <c r="H39" s="14">
        <f t="shared" si="0"/>
        <v>-0.25</v>
      </c>
      <c r="I39" s="34"/>
      <c r="J39" s="30"/>
    </row>
    <row r="40" spans="1:10" s="31" customFormat="1" ht="97.5" customHeight="1">
      <c r="A40" s="49" t="s">
        <v>60</v>
      </c>
      <c r="B40" s="32" t="s">
        <v>110</v>
      </c>
      <c r="C40" s="14">
        <v>0</v>
      </c>
      <c r="D40" s="14"/>
      <c r="E40" s="14"/>
      <c r="F40" s="14">
        <v>-1.94</v>
      </c>
      <c r="G40" s="14" t="e">
        <f t="shared" si="1"/>
        <v>#DIV/0!</v>
      </c>
      <c r="H40" s="14">
        <f t="shared" si="0"/>
        <v>-1.94</v>
      </c>
      <c r="I40" s="34"/>
      <c r="J40" s="30"/>
    </row>
    <row r="41" spans="1:10" s="31" customFormat="1" ht="48.75" customHeight="1">
      <c r="A41" s="49" t="s">
        <v>61</v>
      </c>
      <c r="B41" s="32" t="s">
        <v>111</v>
      </c>
      <c r="C41" s="14">
        <v>0</v>
      </c>
      <c r="D41" s="14"/>
      <c r="E41" s="14"/>
      <c r="F41" s="14">
        <v>6</v>
      </c>
      <c r="G41" s="14" t="e">
        <f t="shared" si="1"/>
        <v>#DIV/0!</v>
      </c>
      <c r="H41" s="14">
        <f t="shared" si="0"/>
        <v>6</v>
      </c>
      <c r="I41" s="34"/>
      <c r="J41" s="30"/>
    </row>
    <row r="42" spans="1:10" s="48" customFormat="1" ht="63.75" customHeight="1">
      <c r="A42" s="49" t="s">
        <v>113</v>
      </c>
      <c r="B42" s="60" t="s">
        <v>112</v>
      </c>
      <c r="C42" s="41">
        <f>SUM(C43:C48)</f>
        <v>217359.3</v>
      </c>
      <c r="D42" s="41">
        <f>SUM(D43:D48)</f>
        <v>0</v>
      </c>
      <c r="E42" s="41">
        <f>SUM(E43:E48)</f>
        <v>0</v>
      </c>
      <c r="F42" s="41">
        <f>SUM(F43:F48)</f>
        <v>257340.04</v>
      </c>
      <c r="G42" s="42">
        <f t="shared" si="1"/>
        <v>118.39384834235298</v>
      </c>
      <c r="H42" s="42">
        <f t="shared" si="0"/>
        <v>39980.74000000002</v>
      </c>
      <c r="I42" s="65"/>
      <c r="J42" s="47"/>
    </row>
    <row r="43" spans="1:10" s="31" customFormat="1" ht="138" customHeight="1">
      <c r="A43" s="49" t="s">
        <v>62</v>
      </c>
      <c r="B43" s="39" t="s">
        <v>114</v>
      </c>
      <c r="C43" s="21">
        <v>137200</v>
      </c>
      <c r="D43" s="14"/>
      <c r="E43" s="14"/>
      <c r="F43" s="14">
        <v>171369.87</v>
      </c>
      <c r="G43" s="14">
        <f t="shared" si="1"/>
        <v>124.9051530612245</v>
      </c>
      <c r="H43" s="14">
        <f t="shared" si="0"/>
        <v>34169.869999999995</v>
      </c>
      <c r="I43" s="29"/>
      <c r="J43" s="30"/>
    </row>
    <row r="44" spans="1:10" s="31" customFormat="1" ht="117" customHeight="1">
      <c r="A44" s="49" t="s">
        <v>63</v>
      </c>
      <c r="B44" s="32" t="s">
        <v>221</v>
      </c>
      <c r="C44" s="21">
        <v>1370</v>
      </c>
      <c r="D44" s="14"/>
      <c r="E44" s="14"/>
      <c r="F44" s="14">
        <v>1381.83</v>
      </c>
      <c r="G44" s="14">
        <f t="shared" si="1"/>
        <v>100.86350364963504</v>
      </c>
      <c r="H44" s="14">
        <f t="shared" si="0"/>
        <v>11.829999999999927</v>
      </c>
      <c r="I44" s="29"/>
      <c r="J44" s="30"/>
    </row>
    <row r="45" spans="1:10" s="31" customFormat="1" ht="98.25" customHeight="1">
      <c r="A45" s="49" t="s">
        <v>64</v>
      </c>
      <c r="B45" s="43" t="s">
        <v>222</v>
      </c>
      <c r="C45" s="21">
        <v>72245.4</v>
      </c>
      <c r="D45" s="14"/>
      <c r="E45" s="14"/>
      <c r="F45" s="14">
        <v>78033.78</v>
      </c>
      <c r="G45" s="14">
        <f t="shared" si="1"/>
        <v>108.01210872941391</v>
      </c>
      <c r="H45" s="14">
        <f t="shared" si="0"/>
        <v>5788.380000000005</v>
      </c>
      <c r="I45" s="29"/>
      <c r="J45" s="30"/>
    </row>
    <row r="46" spans="1:10" s="31" customFormat="1" ht="87.75" customHeight="1">
      <c r="A46" s="49" t="s">
        <v>65</v>
      </c>
      <c r="B46" s="32" t="s">
        <v>115</v>
      </c>
      <c r="C46" s="21">
        <v>345.9</v>
      </c>
      <c r="D46" s="14"/>
      <c r="E46" s="14"/>
      <c r="F46" s="14">
        <v>345.92</v>
      </c>
      <c r="G46" s="14">
        <f t="shared" si="1"/>
        <v>100.00578201792428</v>
      </c>
      <c r="H46" s="14">
        <f t="shared" si="0"/>
        <v>0.020000000000038654</v>
      </c>
      <c r="I46" s="29"/>
      <c r="J46" s="30"/>
    </row>
    <row r="47" spans="1:10" s="31" customFormat="1" ht="66.75" customHeight="1">
      <c r="A47" s="49" t="s">
        <v>66</v>
      </c>
      <c r="B47" s="32" t="s">
        <v>116</v>
      </c>
      <c r="C47" s="21">
        <v>347.3</v>
      </c>
      <c r="D47" s="14"/>
      <c r="E47" s="14"/>
      <c r="F47" s="14">
        <v>357.88</v>
      </c>
      <c r="G47" s="14">
        <f t="shared" si="1"/>
        <v>103.04635761589402</v>
      </c>
      <c r="H47" s="14">
        <f t="shared" si="0"/>
        <v>10.579999999999984</v>
      </c>
      <c r="I47" s="29"/>
      <c r="J47" s="30"/>
    </row>
    <row r="48" spans="1:10" s="31" customFormat="1" ht="122.25" customHeight="1">
      <c r="A48" s="51" t="s">
        <v>67</v>
      </c>
      <c r="B48" s="32" t="s">
        <v>223</v>
      </c>
      <c r="C48" s="21">
        <v>5850.7</v>
      </c>
      <c r="D48" s="14"/>
      <c r="E48" s="14"/>
      <c r="F48" s="14">
        <v>5850.76</v>
      </c>
      <c r="G48" s="14">
        <f t="shared" si="1"/>
        <v>100.00102551831405</v>
      </c>
      <c r="H48" s="14">
        <f t="shared" si="0"/>
        <v>0.06000000000040018</v>
      </c>
      <c r="I48" s="29"/>
      <c r="J48" s="30"/>
    </row>
    <row r="49" spans="1:10" s="31" customFormat="1" ht="36" customHeight="1">
      <c r="A49" s="51" t="s">
        <v>118</v>
      </c>
      <c r="B49" s="68" t="s">
        <v>117</v>
      </c>
      <c r="C49" s="69">
        <f>C50</f>
        <v>7069.5</v>
      </c>
      <c r="D49" s="69"/>
      <c r="E49" s="69"/>
      <c r="F49" s="69">
        <f>F50</f>
        <v>7150.9</v>
      </c>
      <c r="G49" s="69">
        <f aca="true" t="shared" si="2" ref="G49:G69">F49/C49*100</f>
        <v>101.15142513614823</v>
      </c>
      <c r="H49" s="69">
        <f aca="true" t="shared" si="3" ref="H49:H72">SUM(F49-C49)</f>
        <v>81.39999999999964</v>
      </c>
      <c r="I49" s="29"/>
      <c r="J49" s="30"/>
    </row>
    <row r="50" spans="1:10" s="31" customFormat="1" ht="36" customHeight="1">
      <c r="A50" s="49" t="s">
        <v>68</v>
      </c>
      <c r="B50" s="43" t="s">
        <v>42</v>
      </c>
      <c r="C50" s="42">
        <v>7069.5</v>
      </c>
      <c r="D50" s="42"/>
      <c r="E50" s="42"/>
      <c r="F50" s="42">
        <v>7150.9</v>
      </c>
      <c r="G50" s="42">
        <f>F50/C50*100</f>
        <v>101.15142513614823</v>
      </c>
      <c r="H50" s="42">
        <f>SUM(F50-C50)</f>
        <v>81.39999999999964</v>
      </c>
      <c r="I50" s="29"/>
      <c r="J50" s="30"/>
    </row>
    <row r="51" spans="1:10" s="48" customFormat="1" ht="57.75" customHeight="1">
      <c r="A51" s="49" t="s">
        <v>122</v>
      </c>
      <c r="B51" s="60" t="s">
        <v>119</v>
      </c>
      <c r="C51" s="41">
        <f>SUM(C52)</f>
        <v>1241.1</v>
      </c>
      <c r="D51" s="41">
        <f>SUM(D52)</f>
        <v>0</v>
      </c>
      <c r="E51" s="41">
        <f>SUM(E52)</f>
        <v>0</v>
      </c>
      <c r="F51" s="41">
        <f>SUM(F52)</f>
        <v>1618.99</v>
      </c>
      <c r="G51" s="42">
        <f t="shared" si="2"/>
        <v>130.44798968656838</v>
      </c>
      <c r="H51" s="42">
        <f t="shared" si="3"/>
        <v>377.8900000000001</v>
      </c>
      <c r="I51" s="46"/>
      <c r="J51" s="47"/>
    </row>
    <row r="52" spans="1:10" s="31" customFormat="1" ht="64.5" customHeight="1">
      <c r="A52" s="49" t="s">
        <v>69</v>
      </c>
      <c r="B52" s="43" t="s">
        <v>120</v>
      </c>
      <c r="C52" s="41">
        <v>1241.1</v>
      </c>
      <c r="D52" s="42"/>
      <c r="E52" s="42"/>
      <c r="F52" s="42">
        <v>1618.99</v>
      </c>
      <c r="G52" s="42">
        <f>F52/C52*100</f>
        <v>130.44798968656838</v>
      </c>
      <c r="H52" s="42">
        <f>SUM(F52-C52)</f>
        <v>377.8900000000001</v>
      </c>
      <c r="I52" s="29"/>
      <c r="J52" s="30"/>
    </row>
    <row r="53" spans="1:10" s="48" customFormat="1" ht="33" customHeight="1">
      <c r="A53" s="87" t="s">
        <v>70</v>
      </c>
      <c r="B53" s="60" t="s">
        <v>121</v>
      </c>
      <c r="C53" s="41">
        <f>SUM(C54:C55)</f>
        <v>46336.6</v>
      </c>
      <c r="D53" s="41">
        <f>SUM(D54:D55)</f>
        <v>0</v>
      </c>
      <c r="E53" s="41">
        <f>SUM(E54:E55)</f>
        <v>0</v>
      </c>
      <c r="F53" s="41">
        <f>SUM(F54:F55)</f>
        <v>49102.92</v>
      </c>
      <c r="G53" s="42">
        <f t="shared" si="2"/>
        <v>105.97005390986823</v>
      </c>
      <c r="H53" s="42">
        <f t="shared" si="3"/>
        <v>2766.3199999999997</v>
      </c>
      <c r="I53" s="46"/>
      <c r="J53" s="47"/>
    </row>
    <row r="54" spans="1:10" s="31" customFormat="1" ht="152.25" customHeight="1">
      <c r="A54" s="88" t="s">
        <v>71</v>
      </c>
      <c r="B54" s="39" t="s">
        <v>224</v>
      </c>
      <c r="C54" s="27">
        <v>43349.5</v>
      </c>
      <c r="D54" s="28"/>
      <c r="E54" s="28"/>
      <c r="F54" s="28">
        <v>46046.14</v>
      </c>
      <c r="G54" s="28">
        <f t="shared" si="2"/>
        <v>106.22069458701947</v>
      </c>
      <c r="H54" s="28">
        <f t="shared" si="3"/>
        <v>2696.6399999999994</v>
      </c>
      <c r="I54" s="29"/>
      <c r="J54" s="30"/>
    </row>
    <row r="55" spans="1:10" s="31" customFormat="1" ht="79.5" customHeight="1">
      <c r="A55" s="49" t="s">
        <v>72</v>
      </c>
      <c r="B55" s="37" t="s">
        <v>123</v>
      </c>
      <c r="C55" s="27">
        <v>2987.1</v>
      </c>
      <c r="D55" s="28"/>
      <c r="E55" s="28"/>
      <c r="F55" s="28">
        <v>3056.78</v>
      </c>
      <c r="G55" s="28">
        <f t="shared" si="2"/>
        <v>102.33269726490578</v>
      </c>
      <c r="H55" s="28">
        <f t="shared" si="3"/>
        <v>69.68000000000029</v>
      </c>
      <c r="I55" s="29"/>
      <c r="J55" s="30"/>
    </row>
    <row r="56" spans="1:10" s="48" customFormat="1" ht="31.5">
      <c r="A56" s="87" t="s">
        <v>124</v>
      </c>
      <c r="B56" s="66" t="s">
        <v>125</v>
      </c>
      <c r="C56" s="42">
        <f>SUM(C57:C69)</f>
        <v>15167.7</v>
      </c>
      <c r="D56" s="42">
        <f>SUM(D57:D69)</f>
        <v>0</v>
      </c>
      <c r="E56" s="42">
        <f>SUM(E57:E69)</f>
        <v>0</v>
      </c>
      <c r="F56" s="42">
        <f>SUM(F57:F69)</f>
        <v>15931.96</v>
      </c>
      <c r="G56" s="42">
        <f t="shared" si="2"/>
        <v>105.03873362474204</v>
      </c>
      <c r="H56" s="42">
        <f t="shared" si="3"/>
        <v>764.2599999999984</v>
      </c>
      <c r="I56" s="65"/>
      <c r="J56" s="47"/>
    </row>
    <row r="57" spans="1:10" s="31" customFormat="1" ht="175.5" customHeight="1">
      <c r="A57" s="49" t="s">
        <v>73</v>
      </c>
      <c r="B57" s="72" t="s">
        <v>225</v>
      </c>
      <c r="C57" s="21">
        <v>80</v>
      </c>
      <c r="D57" s="14"/>
      <c r="E57" s="14"/>
      <c r="F57" s="14">
        <v>91.83</v>
      </c>
      <c r="G57" s="14">
        <f t="shared" si="2"/>
        <v>114.7875</v>
      </c>
      <c r="H57" s="14">
        <f t="shared" si="3"/>
        <v>11.829999999999998</v>
      </c>
      <c r="I57" s="29"/>
      <c r="J57" s="30"/>
    </row>
    <row r="58" spans="1:10" s="31" customFormat="1" ht="90" customHeight="1">
      <c r="A58" s="49" t="s">
        <v>127</v>
      </c>
      <c r="B58" s="32" t="s">
        <v>128</v>
      </c>
      <c r="C58" s="21">
        <v>0</v>
      </c>
      <c r="D58" s="14"/>
      <c r="E58" s="14"/>
      <c r="F58" s="14">
        <v>-0.2</v>
      </c>
      <c r="G58" s="14"/>
      <c r="H58" s="14">
        <f t="shared" si="3"/>
        <v>-0.2</v>
      </c>
      <c r="I58" s="29"/>
      <c r="J58" s="30"/>
    </row>
    <row r="59" spans="1:10" s="31" customFormat="1" ht="100.5" customHeight="1">
      <c r="A59" s="49" t="s">
        <v>74</v>
      </c>
      <c r="B59" s="43" t="s">
        <v>126</v>
      </c>
      <c r="C59" s="21">
        <v>24.4</v>
      </c>
      <c r="D59" s="14"/>
      <c r="E59" s="14"/>
      <c r="F59" s="14">
        <v>25.76</v>
      </c>
      <c r="G59" s="14">
        <f t="shared" si="2"/>
        <v>105.5737704918033</v>
      </c>
      <c r="H59" s="14">
        <f t="shared" si="3"/>
        <v>1.360000000000003</v>
      </c>
      <c r="I59" s="29"/>
      <c r="J59" s="30"/>
    </row>
    <row r="60" spans="1:10" s="31" customFormat="1" ht="108.75" customHeight="1">
      <c r="A60" s="49" t="s">
        <v>75</v>
      </c>
      <c r="B60" s="32" t="s">
        <v>129</v>
      </c>
      <c r="C60" s="21">
        <v>502.5</v>
      </c>
      <c r="D60" s="14"/>
      <c r="E60" s="14"/>
      <c r="F60" s="14">
        <v>565.9</v>
      </c>
      <c r="G60" s="14">
        <f t="shared" si="2"/>
        <v>112.61691542288557</v>
      </c>
      <c r="H60" s="14">
        <f t="shared" si="3"/>
        <v>63.39999999999998</v>
      </c>
      <c r="I60" s="29"/>
      <c r="J60" s="30"/>
    </row>
    <row r="61" spans="1:10" s="31" customFormat="1" ht="100.5" customHeight="1">
      <c r="A61" s="49" t="s">
        <v>76</v>
      </c>
      <c r="B61" s="32" t="s">
        <v>130</v>
      </c>
      <c r="C61" s="21">
        <v>104.5</v>
      </c>
      <c r="D61" s="14"/>
      <c r="E61" s="14"/>
      <c r="F61" s="14">
        <v>104.5</v>
      </c>
      <c r="G61" s="14">
        <f t="shared" si="2"/>
        <v>100</v>
      </c>
      <c r="H61" s="14">
        <f t="shared" si="3"/>
        <v>0</v>
      </c>
      <c r="I61" s="29"/>
      <c r="J61" s="30"/>
    </row>
    <row r="62" spans="1:10" s="31" customFormat="1" ht="83.25" customHeight="1">
      <c r="A62" s="49" t="s">
        <v>77</v>
      </c>
      <c r="B62" s="43" t="s">
        <v>131</v>
      </c>
      <c r="C62" s="21">
        <v>270.4</v>
      </c>
      <c r="D62" s="14"/>
      <c r="E62" s="14"/>
      <c r="F62" s="14">
        <v>270.9</v>
      </c>
      <c r="G62" s="14">
        <f t="shared" si="2"/>
        <v>100.18491124260356</v>
      </c>
      <c r="H62" s="14">
        <f t="shared" si="3"/>
        <v>0.5</v>
      </c>
      <c r="I62" s="29"/>
      <c r="J62" s="30"/>
    </row>
    <row r="63" spans="1:10" s="31" customFormat="1" ht="58.5" customHeight="1">
      <c r="A63" s="49" t="s">
        <v>78</v>
      </c>
      <c r="B63" s="43" t="s">
        <v>132</v>
      </c>
      <c r="C63" s="21">
        <v>5</v>
      </c>
      <c r="D63" s="14"/>
      <c r="E63" s="14"/>
      <c r="F63" s="14">
        <v>5</v>
      </c>
      <c r="G63" s="14">
        <f t="shared" si="2"/>
        <v>100</v>
      </c>
      <c r="H63" s="14">
        <f t="shared" si="3"/>
        <v>0</v>
      </c>
      <c r="I63" s="29"/>
      <c r="J63" s="30"/>
    </row>
    <row r="64" spans="1:10" s="31" customFormat="1" ht="60.75" customHeight="1">
      <c r="A64" s="49" t="s">
        <v>79</v>
      </c>
      <c r="B64" s="43" t="s">
        <v>133</v>
      </c>
      <c r="C64" s="21">
        <v>744.5</v>
      </c>
      <c r="D64" s="14"/>
      <c r="E64" s="14"/>
      <c r="F64" s="14">
        <v>775.64</v>
      </c>
      <c r="G64" s="14">
        <f t="shared" si="2"/>
        <v>104.18267293485562</v>
      </c>
      <c r="H64" s="14">
        <f t="shared" si="3"/>
        <v>31.139999999999986</v>
      </c>
      <c r="I64" s="29"/>
      <c r="J64" s="30"/>
    </row>
    <row r="65" spans="1:10" s="31" customFormat="1" ht="48" customHeight="1">
      <c r="A65" s="49" t="s">
        <v>80</v>
      </c>
      <c r="B65" s="43" t="s">
        <v>134</v>
      </c>
      <c r="C65" s="21">
        <v>132.8</v>
      </c>
      <c r="D65" s="14"/>
      <c r="E65" s="14"/>
      <c r="F65" s="14">
        <v>158.05</v>
      </c>
      <c r="G65" s="14">
        <f>F65/C65*100</f>
        <v>119.01355421686748</v>
      </c>
      <c r="H65" s="14">
        <f>SUM(F65-C65)</f>
        <v>25.25</v>
      </c>
      <c r="I65" s="29"/>
      <c r="J65" s="30"/>
    </row>
    <row r="66" spans="1:10" s="31" customFormat="1" ht="104.25" customHeight="1">
      <c r="A66" s="49" t="s">
        <v>81</v>
      </c>
      <c r="B66" s="43" t="s">
        <v>135</v>
      </c>
      <c r="C66" s="21">
        <v>700</v>
      </c>
      <c r="D66" s="14"/>
      <c r="E66" s="14"/>
      <c r="F66" s="14">
        <v>840.08</v>
      </c>
      <c r="G66" s="14">
        <f>F66/C66*100</f>
        <v>120.01142857142857</v>
      </c>
      <c r="H66" s="14">
        <f>SUM(F66-C66)</f>
        <v>140.08000000000004</v>
      </c>
      <c r="I66" s="29"/>
      <c r="J66" s="30"/>
    </row>
    <row r="67" spans="1:10" s="31" customFormat="1" ht="64.5" customHeight="1">
      <c r="A67" s="49" t="s">
        <v>82</v>
      </c>
      <c r="B67" s="32" t="s">
        <v>136</v>
      </c>
      <c r="C67" s="21">
        <v>7920.6</v>
      </c>
      <c r="D67" s="14"/>
      <c r="E67" s="14"/>
      <c r="F67" s="14">
        <v>8054.04</v>
      </c>
      <c r="G67" s="14">
        <f t="shared" si="2"/>
        <v>101.68472085448073</v>
      </c>
      <c r="H67" s="14">
        <f t="shared" si="3"/>
        <v>133.4399999999996</v>
      </c>
      <c r="I67" s="29"/>
      <c r="J67" s="30"/>
    </row>
    <row r="68" spans="1:10" s="31" customFormat="1" ht="102" customHeight="1">
      <c r="A68" s="49" t="s">
        <v>137</v>
      </c>
      <c r="B68" s="32" t="s">
        <v>138</v>
      </c>
      <c r="C68" s="21">
        <v>30</v>
      </c>
      <c r="D68" s="14"/>
      <c r="E68" s="14"/>
      <c r="F68" s="14">
        <v>30</v>
      </c>
      <c r="G68" s="14">
        <f t="shared" si="2"/>
        <v>100</v>
      </c>
      <c r="H68" s="14">
        <f t="shared" si="3"/>
        <v>0</v>
      </c>
      <c r="I68" s="29"/>
      <c r="J68" s="30"/>
    </row>
    <row r="69" spans="1:10" s="31" customFormat="1" ht="69.75" customHeight="1">
      <c r="A69" s="49" t="s">
        <v>83</v>
      </c>
      <c r="B69" s="32" t="s">
        <v>139</v>
      </c>
      <c r="C69" s="21">
        <v>4653</v>
      </c>
      <c r="D69" s="14"/>
      <c r="E69" s="14"/>
      <c r="F69" s="14">
        <v>5010.46</v>
      </c>
      <c r="G69" s="14">
        <f t="shared" si="2"/>
        <v>107.68235546958951</v>
      </c>
      <c r="H69" s="14">
        <f t="shared" si="3"/>
        <v>357.46000000000004</v>
      </c>
      <c r="I69" s="29"/>
      <c r="J69" s="30"/>
    </row>
    <row r="70" spans="1:10" s="48" customFormat="1" ht="15.75">
      <c r="A70" s="49" t="s">
        <v>84</v>
      </c>
      <c r="B70" s="66" t="s">
        <v>140</v>
      </c>
      <c r="C70" s="42">
        <f>SUM(C71:C72)</f>
        <v>705.5</v>
      </c>
      <c r="D70" s="42">
        <f>SUM(D71:D72)</f>
        <v>0</v>
      </c>
      <c r="E70" s="42">
        <f>SUM(E71:E72)</f>
        <v>0</v>
      </c>
      <c r="F70" s="42">
        <f>SUM(F71:F72)</f>
        <v>917.09</v>
      </c>
      <c r="G70" s="42">
        <v>0</v>
      </c>
      <c r="H70" s="42">
        <f t="shared" si="3"/>
        <v>211.59000000000003</v>
      </c>
      <c r="I70" s="46"/>
      <c r="J70" s="47"/>
    </row>
    <row r="71" spans="1:10" s="31" customFormat="1" ht="39.75" customHeight="1">
      <c r="A71" s="49" t="s">
        <v>85</v>
      </c>
      <c r="B71" s="19" t="s">
        <v>141</v>
      </c>
      <c r="C71" s="28">
        <v>0</v>
      </c>
      <c r="D71" s="28"/>
      <c r="E71" s="28"/>
      <c r="F71" s="28">
        <v>0</v>
      </c>
      <c r="G71" s="42"/>
      <c r="H71" s="28">
        <f t="shared" si="3"/>
        <v>0</v>
      </c>
      <c r="I71" s="29"/>
      <c r="J71" s="30"/>
    </row>
    <row r="72" spans="1:10" s="31" customFormat="1" ht="42.75" customHeight="1">
      <c r="A72" s="49" t="s">
        <v>86</v>
      </c>
      <c r="B72" s="19" t="s">
        <v>142</v>
      </c>
      <c r="C72" s="28">
        <v>705.5</v>
      </c>
      <c r="D72" s="28"/>
      <c r="E72" s="28"/>
      <c r="F72" s="28">
        <v>917.09</v>
      </c>
      <c r="G72" s="28"/>
      <c r="H72" s="28">
        <f t="shared" si="3"/>
        <v>211.59000000000003</v>
      </c>
      <c r="I72" s="29"/>
      <c r="J72" s="30"/>
    </row>
    <row r="73" spans="1:10" ht="23.25" customHeight="1">
      <c r="A73" s="79"/>
      <c r="B73" s="17" t="s">
        <v>40</v>
      </c>
      <c r="C73" s="22">
        <f>SUM(C16+C22+C26+C30+C32+C37+C42+C49+C51+C53+C56+C70)</f>
        <v>1152592.3</v>
      </c>
      <c r="D73" s="22" t="e">
        <f>SUM(D16+D22+D26+D30+D32+D37+D42+D49+D51+D53+D56+D70+#REF!+#REF!)</f>
        <v>#REF!</v>
      </c>
      <c r="E73" s="22" t="e">
        <f>SUM(E16+E22+E26+E30+E32+E37+E42+E49+E51+E53+E56+E70+#REF!+#REF!)</f>
        <v>#REF!</v>
      </c>
      <c r="F73" s="22">
        <f>SUM(F16+F22+F26+F30+F32+F37+F42+F49+F51+F53+F56+F70)</f>
        <v>1227580.7999999998</v>
      </c>
      <c r="G73" s="22">
        <f>F73/C73*100</f>
        <v>106.50607330970368</v>
      </c>
      <c r="H73" s="22">
        <f>F73-C73</f>
        <v>74988.49999999977</v>
      </c>
      <c r="I73" s="12"/>
      <c r="J73" s="12"/>
    </row>
    <row r="74" spans="1:9" ht="15.75">
      <c r="A74" s="79"/>
      <c r="B74" s="17" t="s">
        <v>3</v>
      </c>
      <c r="C74" s="22">
        <f>SUM(C101:C134)</f>
        <v>673108.5661099999</v>
      </c>
      <c r="D74" s="22">
        <f>SUM(D101:D120)</f>
        <v>442353.662</v>
      </c>
      <c r="E74" s="22">
        <f>SUM(E101:E120)</f>
        <v>442353.662</v>
      </c>
      <c r="F74" s="22">
        <f>SUM(F101:F135)</f>
        <v>639540.9119999999</v>
      </c>
      <c r="G74" s="22">
        <f>F74/C74*100</f>
        <v>95.0130401245682</v>
      </c>
      <c r="H74" s="22">
        <f>F74-C74</f>
        <v>-33567.65411</v>
      </c>
      <c r="I74" s="11"/>
    </row>
    <row r="75" spans="1:9" ht="15.75" hidden="1">
      <c r="A75" s="79"/>
      <c r="B75" s="20" t="s">
        <v>4</v>
      </c>
      <c r="C75" s="21"/>
      <c r="D75" s="14"/>
      <c r="E75" s="14"/>
      <c r="F75" s="14"/>
      <c r="G75" s="22" t="e">
        <f aca="true" t="shared" si="4" ref="G75:G135">F75/C75*100</f>
        <v>#DIV/0!</v>
      </c>
      <c r="H75" s="22">
        <f aca="true" t="shared" si="5" ref="H75:H135">F75-C75</f>
        <v>0</v>
      </c>
      <c r="I75" s="26"/>
    </row>
    <row r="76" spans="1:9" ht="81" customHeight="1" hidden="1">
      <c r="A76" s="79"/>
      <c r="B76" s="37" t="s">
        <v>18</v>
      </c>
      <c r="C76" s="35">
        <f>1650+1650+1918-268-486.7+1536.7+600</f>
        <v>6600</v>
      </c>
      <c r="D76" s="35">
        <f>1762136+1764782+1764782+2100000+2056050+2056050+2068629+2071736+2071735+1763882+1763909+1763909</f>
        <v>23007600</v>
      </c>
      <c r="E76" s="35">
        <v>1763.88</v>
      </c>
      <c r="F76" s="36">
        <v>5949.4</v>
      </c>
      <c r="G76" s="22">
        <f t="shared" si="4"/>
        <v>90.14242424242424</v>
      </c>
      <c r="H76" s="22">
        <f t="shared" si="5"/>
        <v>-650.6000000000004</v>
      </c>
      <c r="I76" s="26"/>
    </row>
    <row r="77" spans="1:9" ht="47.25" hidden="1">
      <c r="A77" s="79"/>
      <c r="B77" s="37" t="s">
        <v>19</v>
      </c>
      <c r="C77" s="35">
        <v>3000</v>
      </c>
      <c r="D77" s="35">
        <f>7000000</f>
        <v>7000000</v>
      </c>
      <c r="E77" s="35">
        <v>0</v>
      </c>
      <c r="F77" s="36">
        <v>3000</v>
      </c>
      <c r="G77" s="22">
        <f t="shared" si="4"/>
        <v>100</v>
      </c>
      <c r="H77" s="22">
        <f t="shared" si="5"/>
        <v>0</v>
      </c>
      <c r="I77" s="11"/>
    </row>
    <row r="78" spans="1:8" ht="45" customHeight="1" hidden="1">
      <c r="A78" s="79"/>
      <c r="B78" s="37" t="s">
        <v>20</v>
      </c>
      <c r="C78" s="35">
        <f>737.4+13029.98+484.32</f>
        <v>14251.699999999999</v>
      </c>
      <c r="D78" s="35">
        <v>600000</v>
      </c>
      <c r="E78" s="35">
        <v>0</v>
      </c>
      <c r="F78" s="36">
        <v>14251.7</v>
      </c>
      <c r="G78" s="22">
        <f t="shared" si="4"/>
        <v>100.00000000000003</v>
      </c>
      <c r="H78" s="22">
        <f t="shared" si="5"/>
        <v>0</v>
      </c>
    </row>
    <row r="79" spans="1:8" ht="48.75" customHeight="1" hidden="1">
      <c r="A79" s="79"/>
      <c r="B79" s="37" t="s">
        <v>21</v>
      </c>
      <c r="C79" s="35">
        <f>326+379.7</f>
        <v>705.7</v>
      </c>
      <c r="D79" s="35">
        <f>1688200+218600+983200+442800+497800+426800+481500+453000+452200-33197.52</f>
        <v>5610902.48</v>
      </c>
      <c r="E79" s="35">
        <v>481.5</v>
      </c>
      <c r="F79" s="36">
        <v>705.7</v>
      </c>
      <c r="G79" s="22">
        <f t="shared" si="4"/>
        <v>100</v>
      </c>
      <c r="H79" s="22">
        <f t="shared" si="5"/>
        <v>0</v>
      </c>
    </row>
    <row r="80" spans="1:8" ht="120.75" customHeight="1" hidden="1">
      <c r="A80" s="79"/>
      <c r="B80" s="39" t="s">
        <v>22</v>
      </c>
      <c r="C80" s="35">
        <f>174149.1</f>
        <v>174149.1</v>
      </c>
      <c r="D80" s="35">
        <f>156400+55200+9200+82800+18400+9200</f>
        <v>331200</v>
      </c>
      <c r="E80" s="35">
        <v>9.2</v>
      </c>
      <c r="F80" s="36">
        <v>174149.1</v>
      </c>
      <c r="G80" s="22">
        <f t="shared" si="4"/>
        <v>100</v>
      </c>
      <c r="H80" s="22">
        <f t="shared" si="5"/>
        <v>0</v>
      </c>
    </row>
    <row r="81" spans="1:8" ht="86.25" customHeight="1" hidden="1">
      <c r="A81" s="79"/>
      <c r="B81" s="39" t="s">
        <v>23</v>
      </c>
      <c r="C81" s="35">
        <f>52213.1</f>
        <v>52213.1</v>
      </c>
      <c r="D81" s="35">
        <f>923597+1170000+1682606+1040869+1040869+1040868+1903915+994678+1524879-265313.96</f>
        <v>11056967.04</v>
      </c>
      <c r="E81" s="35">
        <v>994.68</v>
      </c>
      <c r="F81" s="36">
        <v>52213.1</v>
      </c>
      <c r="G81" s="22">
        <f t="shared" si="4"/>
        <v>100</v>
      </c>
      <c r="H81" s="22">
        <f t="shared" si="5"/>
        <v>0</v>
      </c>
    </row>
    <row r="82" spans="1:8" ht="39.75" customHeight="1" hidden="1">
      <c r="A82" s="79"/>
      <c r="B82" s="37" t="s">
        <v>17</v>
      </c>
      <c r="C82" s="35">
        <f>10400-5000+2600+39000+61.5+2300</f>
        <v>49361.5</v>
      </c>
      <c r="D82" s="35">
        <f>1147700+1000000+1000000+1500000+500000+850000+887300+400000+1100000+1100000+1243000+1087000+2265000-530288.76</f>
        <v>13549711.24</v>
      </c>
      <c r="E82" s="35">
        <v>1087</v>
      </c>
      <c r="F82" s="36">
        <v>45953.5</v>
      </c>
      <c r="G82" s="22">
        <f t="shared" si="4"/>
        <v>93.09583379759529</v>
      </c>
      <c r="H82" s="22">
        <f t="shared" si="5"/>
        <v>-3408</v>
      </c>
    </row>
    <row r="83" spans="1:8" ht="73.5" customHeight="1" hidden="1">
      <c r="A83" s="79"/>
      <c r="B83" s="37" t="s">
        <v>24</v>
      </c>
      <c r="C83" s="35">
        <v>42</v>
      </c>
      <c r="D83" s="35">
        <f>9355000+9355000+8515306+5108000+1606306+2640694+9355000+10194694+5108000+4247000+9355000+9355000+1761000+1050000+22889000+1700000+15000000+11676000+7968000+5108000+700000+1953000+5147000+2000000+2320000+2680000+10213000+2787000+2690000+16500000+12870000+6630000</f>
        <v>217837000</v>
      </c>
      <c r="E83" s="35">
        <v>7000</v>
      </c>
      <c r="F83" s="36">
        <v>42</v>
      </c>
      <c r="G83" s="22">
        <f t="shared" si="4"/>
        <v>100</v>
      </c>
      <c r="H83" s="22">
        <f t="shared" si="5"/>
        <v>0</v>
      </c>
    </row>
    <row r="84" spans="1:8" ht="31.5" hidden="1">
      <c r="A84" s="79"/>
      <c r="B84" s="37" t="s">
        <v>25</v>
      </c>
      <c r="C84" s="35">
        <f>900-900</f>
        <v>0</v>
      </c>
      <c r="D84" s="35">
        <f>434232+434884+434884+801864+803068+803068+803068+802466+802466+434334+434333+434333</f>
        <v>7423000</v>
      </c>
      <c r="E84" s="35">
        <v>434.33</v>
      </c>
      <c r="F84" s="36">
        <v>0</v>
      </c>
      <c r="G84" s="22" t="e">
        <f t="shared" si="4"/>
        <v>#DIV/0!</v>
      </c>
      <c r="H84" s="22">
        <f t="shared" si="5"/>
        <v>0</v>
      </c>
    </row>
    <row r="85" spans="1:8" ht="60" customHeight="1" hidden="1">
      <c r="A85" s="79"/>
      <c r="B85" s="37" t="s">
        <v>26</v>
      </c>
      <c r="C85" s="35">
        <f>156.4+82.8+10.17+129.76+119.79-119.79+119.79+62.66+30.5</f>
        <v>592.08</v>
      </c>
      <c r="D85" s="35">
        <f>987012+988494+988494+987012+988494+988494+987901+988050+562320-2320</f>
        <v>8463951</v>
      </c>
      <c r="E85" s="35">
        <v>0</v>
      </c>
      <c r="F85" s="36">
        <v>592.08</v>
      </c>
      <c r="G85" s="22">
        <f t="shared" si="4"/>
        <v>100</v>
      </c>
      <c r="H85" s="22">
        <f t="shared" si="5"/>
        <v>0</v>
      </c>
    </row>
    <row r="86" spans="1:8" ht="75.75" customHeight="1" hidden="1">
      <c r="A86" s="79"/>
      <c r="B86" s="37" t="s">
        <v>27</v>
      </c>
      <c r="C86" s="35">
        <f>2700+3630+1919.2+2168.9</f>
        <v>10418.1</v>
      </c>
      <c r="D86" s="35">
        <f>19680+19710+19710+19503+19799+19798+19698+19701+19701+19667+19667+19666</f>
        <v>236300</v>
      </c>
      <c r="E86" s="35">
        <v>19.67</v>
      </c>
      <c r="F86" s="36">
        <v>10418.1</v>
      </c>
      <c r="G86" s="22">
        <f t="shared" si="4"/>
        <v>100</v>
      </c>
      <c r="H86" s="22">
        <f t="shared" si="5"/>
        <v>0</v>
      </c>
    </row>
    <row r="87" spans="1:8" ht="60.75" customHeight="1" hidden="1">
      <c r="A87" s="79"/>
      <c r="B87" s="37" t="s">
        <v>28</v>
      </c>
      <c r="C87" s="35">
        <f>511+146.1+366.39+144.97+362.7</f>
        <v>1531.16</v>
      </c>
      <c r="D87" s="35">
        <f>42805+85412+3150+25022-33697.54</f>
        <v>122691.45999999999</v>
      </c>
      <c r="E87" s="35">
        <v>85.41</v>
      </c>
      <c r="F87" s="36">
        <v>1531.16</v>
      </c>
      <c r="G87" s="22">
        <f t="shared" si="4"/>
        <v>100</v>
      </c>
      <c r="H87" s="22">
        <f t="shared" si="5"/>
        <v>0</v>
      </c>
    </row>
    <row r="88" spans="1:8" ht="47.25" hidden="1">
      <c r="A88" s="79"/>
      <c r="B88" s="37" t="s">
        <v>16</v>
      </c>
      <c r="C88" s="35">
        <f>4689+4689+3126+700+3126</f>
        <v>16330</v>
      </c>
      <c r="D88" s="35">
        <f>10600+10585+10515+8654+11523+11523+10564+10568+10568+10533+10534+10533</f>
        <v>126700</v>
      </c>
      <c r="E88" s="35">
        <v>10.53</v>
      </c>
      <c r="F88" s="36">
        <v>15826</v>
      </c>
      <c r="G88" s="22">
        <f t="shared" si="4"/>
        <v>96.91365584813228</v>
      </c>
      <c r="H88" s="22">
        <f t="shared" si="5"/>
        <v>-504</v>
      </c>
    </row>
    <row r="89" spans="1:8" ht="40.5" customHeight="1" hidden="1">
      <c r="A89" s="79"/>
      <c r="B89" s="37" t="s">
        <v>29</v>
      </c>
      <c r="C89" s="35">
        <f>61650.4-16-140.4+82280+44729+60153+7941.3</f>
        <v>256597.3</v>
      </c>
      <c r="D89" s="35">
        <f>401000+90000+364786-239433.19</f>
        <v>616352.81</v>
      </c>
      <c r="E89" s="35">
        <v>90</v>
      </c>
      <c r="F89" s="36">
        <v>256597.3</v>
      </c>
      <c r="G89" s="22">
        <f t="shared" si="4"/>
        <v>100</v>
      </c>
      <c r="H89" s="22">
        <f t="shared" si="5"/>
        <v>0</v>
      </c>
    </row>
    <row r="90" spans="1:8" ht="31.5" hidden="1">
      <c r="A90" s="79"/>
      <c r="B90" s="37" t="s">
        <v>30</v>
      </c>
      <c r="C90" s="35">
        <f>1532+2759+997.59+3725.48+1508+389.9+208</f>
        <v>11119.97</v>
      </c>
      <c r="D90" s="35">
        <f>1762163+1299970+1004892+885127+1719981+1035794</f>
        <v>7707927</v>
      </c>
      <c r="E90" s="35">
        <v>1004.9</v>
      </c>
      <c r="F90" s="36">
        <v>11119.97</v>
      </c>
      <c r="G90" s="22">
        <f t="shared" si="4"/>
        <v>100</v>
      </c>
      <c r="H90" s="22">
        <f t="shared" si="5"/>
        <v>0</v>
      </c>
    </row>
    <row r="91" spans="1:8" ht="31.5" hidden="1">
      <c r="A91" s="79"/>
      <c r="B91" s="37" t="s">
        <v>30</v>
      </c>
      <c r="C91" s="35">
        <v>0</v>
      </c>
      <c r="D91" s="35">
        <f>220000+132000+1128679+35701+132000+522721+26775+423089+1297600+46383+460080+2867-9273.83</f>
        <v>4418621.17</v>
      </c>
      <c r="E91" s="35">
        <v>1104.59</v>
      </c>
      <c r="F91" s="36">
        <v>0</v>
      </c>
      <c r="G91" s="22" t="e">
        <f t="shared" si="4"/>
        <v>#DIV/0!</v>
      </c>
      <c r="H91" s="22">
        <f t="shared" si="5"/>
        <v>0</v>
      </c>
    </row>
    <row r="92" spans="1:9" ht="31.5" hidden="1">
      <c r="A92" s="79"/>
      <c r="B92" s="37" t="s">
        <v>31</v>
      </c>
      <c r="C92" s="35">
        <f>3024+3024+3024+3024+365</f>
        <v>12461</v>
      </c>
      <c r="D92" s="35">
        <f>2100000+900000</f>
        <v>3000000</v>
      </c>
      <c r="E92" s="35">
        <v>0</v>
      </c>
      <c r="F92" s="36">
        <v>12461</v>
      </c>
      <c r="G92" s="22">
        <f t="shared" si="4"/>
        <v>100</v>
      </c>
      <c r="H92" s="22">
        <f t="shared" si="5"/>
        <v>0</v>
      </c>
      <c r="I92" s="11"/>
    </row>
    <row r="93" spans="1:9" ht="47.25" hidden="1">
      <c r="A93" s="79"/>
      <c r="B93" s="37" t="s">
        <v>32</v>
      </c>
      <c r="C93" s="35">
        <f>122.6+122.6+122.6+122.5</f>
        <v>490.29999999999995</v>
      </c>
      <c r="D93" s="35">
        <f>590160+9915444+3305148+260172+780516</f>
        <v>14851440</v>
      </c>
      <c r="E93" s="35"/>
      <c r="F93" s="36">
        <v>490.3</v>
      </c>
      <c r="G93" s="22">
        <f t="shared" si="4"/>
        <v>100.00000000000003</v>
      </c>
      <c r="H93" s="22">
        <f t="shared" si="5"/>
        <v>0</v>
      </c>
      <c r="I93" s="11"/>
    </row>
    <row r="94" spans="1:9" ht="110.25" hidden="1">
      <c r="A94" s="79"/>
      <c r="B94" s="37" t="s">
        <v>33</v>
      </c>
      <c r="C94" s="35">
        <f>81.36+191.32+234.12+188.85</f>
        <v>695.65</v>
      </c>
      <c r="D94" s="35">
        <f>2100000+5900000+1400000+250000+6000000+3999946+2400000+1453300+432400-323-43</f>
        <v>23935280</v>
      </c>
      <c r="E94" s="35">
        <v>6000</v>
      </c>
      <c r="F94" s="36">
        <v>695.65</v>
      </c>
      <c r="G94" s="22">
        <f t="shared" si="4"/>
        <v>100</v>
      </c>
      <c r="H94" s="22">
        <f t="shared" si="5"/>
        <v>0</v>
      </c>
      <c r="I94" s="1"/>
    </row>
    <row r="95" spans="1:8" ht="47.25" hidden="1">
      <c r="A95" s="79"/>
      <c r="B95" s="37" t="s">
        <v>34</v>
      </c>
      <c r="C95" s="35">
        <f>40.9+40.9+40.9+4+49.6-4</f>
        <v>172.29999999999998</v>
      </c>
      <c r="D95" s="35">
        <f>3125000</f>
        <v>3125000</v>
      </c>
      <c r="E95" s="35">
        <v>0</v>
      </c>
      <c r="F95" s="36">
        <v>172.3</v>
      </c>
      <c r="G95" s="22">
        <f t="shared" si="4"/>
        <v>100.00000000000003</v>
      </c>
      <c r="H95" s="22">
        <f t="shared" si="5"/>
        <v>0</v>
      </c>
    </row>
    <row r="96" spans="1:8" ht="47.25" hidden="1">
      <c r="A96" s="79"/>
      <c r="B96" s="37" t="s">
        <v>35</v>
      </c>
      <c r="C96" s="35">
        <f>220.8+220.8+220.8+220.7</f>
        <v>883.1000000000001</v>
      </c>
      <c r="D96" s="35">
        <f>527142+18590+1198000+2500000+969300+413000-18590</f>
        <v>5607442</v>
      </c>
      <c r="E96" s="35">
        <v>1198</v>
      </c>
      <c r="F96" s="36">
        <v>883.1</v>
      </c>
      <c r="G96" s="22">
        <f t="shared" si="4"/>
        <v>99.99999999999999</v>
      </c>
      <c r="H96" s="22">
        <f t="shared" si="5"/>
        <v>0</v>
      </c>
    </row>
    <row r="97" spans="1:8" ht="31.5" hidden="1">
      <c r="A97" s="79"/>
      <c r="B97" s="37" t="s">
        <v>36</v>
      </c>
      <c r="C97" s="35">
        <f>144+386.6+171.32+650.1+300.15</f>
        <v>1652.17</v>
      </c>
      <c r="D97" s="40"/>
      <c r="E97" s="40"/>
      <c r="F97" s="36">
        <v>1652.17</v>
      </c>
      <c r="G97" s="22">
        <f t="shared" si="4"/>
        <v>100</v>
      </c>
      <c r="H97" s="22">
        <f t="shared" si="5"/>
        <v>0</v>
      </c>
    </row>
    <row r="98" spans="1:8" ht="47.25" hidden="1">
      <c r="A98" s="79"/>
      <c r="B98" s="37" t="s">
        <v>37</v>
      </c>
      <c r="C98" s="35">
        <f>3000-3000</f>
        <v>0</v>
      </c>
      <c r="D98" s="40"/>
      <c r="E98" s="40"/>
      <c r="F98" s="36">
        <f>ROUND(E98/1000,2)</f>
        <v>0</v>
      </c>
      <c r="G98" s="22" t="e">
        <f t="shared" si="4"/>
        <v>#DIV/0!</v>
      </c>
      <c r="H98" s="22">
        <f t="shared" si="5"/>
        <v>0</v>
      </c>
    </row>
    <row r="99" spans="1:8" ht="31.5" hidden="1">
      <c r="A99" s="79"/>
      <c r="B99" s="37" t="s">
        <v>38</v>
      </c>
      <c r="C99" s="35">
        <f>1926.98+1870.63+2169.02+2500+1000</f>
        <v>9466.630000000001</v>
      </c>
      <c r="D99" s="40"/>
      <c r="E99" s="40"/>
      <c r="F99" s="36">
        <v>9466.63</v>
      </c>
      <c r="G99" s="22">
        <f t="shared" si="4"/>
        <v>99.99999999999997</v>
      </c>
      <c r="H99" s="22">
        <f t="shared" si="5"/>
        <v>0</v>
      </c>
    </row>
    <row r="100" spans="1:8" ht="47.25" hidden="1">
      <c r="A100" s="79"/>
      <c r="B100" s="37" t="s">
        <v>39</v>
      </c>
      <c r="C100" s="35">
        <f>5000+28.9+523.61+244.15+4500</f>
        <v>10296.66</v>
      </c>
      <c r="D100" s="40"/>
      <c r="E100" s="40"/>
      <c r="F100" s="36">
        <v>10296.66</v>
      </c>
      <c r="G100" s="22">
        <f t="shared" si="4"/>
        <v>100</v>
      </c>
      <c r="H100" s="22">
        <f t="shared" si="5"/>
        <v>0</v>
      </c>
    </row>
    <row r="101" spans="1:8" ht="51" customHeight="1">
      <c r="A101" s="73" t="s">
        <v>88</v>
      </c>
      <c r="B101" s="32" t="s">
        <v>179</v>
      </c>
      <c r="C101" s="71">
        <v>10396.01</v>
      </c>
      <c r="D101" s="71">
        <v>10396.1</v>
      </c>
      <c r="E101" s="71">
        <v>10396.1</v>
      </c>
      <c r="F101" s="71">
        <v>10396.01</v>
      </c>
      <c r="G101" s="14">
        <f t="shared" si="4"/>
        <v>100</v>
      </c>
      <c r="H101" s="14">
        <f t="shared" si="5"/>
        <v>0</v>
      </c>
    </row>
    <row r="102" spans="1:8" ht="81.75" customHeight="1">
      <c r="A102" s="73" t="s">
        <v>87</v>
      </c>
      <c r="B102" s="70" t="s">
        <v>180</v>
      </c>
      <c r="C102" s="71">
        <f>3920+2287</f>
        <v>6207</v>
      </c>
      <c r="D102" s="71">
        <f>3920+2287</f>
        <v>6207</v>
      </c>
      <c r="E102" s="71">
        <f>3920+2287</f>
        <v>6207</v>
      </c>
      <c r="F102" s="71">
        <f>3920+2287</f>
        <v>6207</v>
      </c>
      <c r="G102" s="14">
        <f t="shared" si="4"/>
        <v>100</v>
      </c>
      <c r="H102" s="14">
        <f t="shared" si="5"/>
        <v>0</v>
      </c>
    </row>
    <row r="103" spans="1:8" ht="105.75" customHeight="1">
      <c r="A103" s="73" t="s">
        <v>143</v>
      </c>
      <c r="B103" s="70" t="s">
        <v>181</v>
      </c>
      <c r="C103" s="71">
        <v>6242.3</v>
      </c>
      <c r="D103" s="71"/>
      <c r="E103" s="71"/>
      <c r="F103" s="71">
        <v>6241.4</v>
      </c>
      <c r="G103" s="14">
        <f t="shared" si="4"/>
        <v>99.98558223731636</v>
      </c>
      <c r="H103" s="14">
        <f t="shared" si="5"/>
        <v>-0.9000000000005457</v>
      </c>
    </row>
    <row r="104" spans="1:8" ht="110.25">
      <c r="A104" s="73" t="s">
        <v>182</v>
      </c>
      <c r="B104" s="70" t="s">
        <v>183</v>
      </c>
      <c r="C104" s="71">
        <v>5555</v>
      </c>
      <c r="D104" s="71">
        <v>5555</v>
      </c>
      <c r="E104" s="71">
        <v>5555</v>
      </c>
      <c r="F104" s="71">
        <v>5555</v>
      </c>
      <c r="G104" s="14">
        <f t="shared" si="4"/>
        <v>100</v>
      </c>
      <c r="H104" s="14">
        <f t="shared" si="5"/>
        <v>0</v>
      </c>
    </row>
    <row r="105" spans="1:8" ht="96" customHeight="1">
      <c r="A105" s="73" t="s">
        <v>184</v>
      </c>
      <c r="B105" s="70" t="s">
        <v>185</v>
      </c>
      <c r="C105" s="71">
        <v>31330</v>
      </c>
      <c r="D105" s="71">
        <v>31330</v>
      </c>
      <c r="E105" s="71">
        <v>31330</v>
      </c>
      <c r="F105" s="71">
        <v>31330</v>
      </c>
      <c r="G105" s="14">
        <f t="shared" si="4"/>
        <v>100</v>
      </c>
      <c r="H105" s="14">
        <f t="shared" si="5"/>
        <v>0</v>
      </c>
    </row>
    <row r="106" spans="1:8" ht="47.25">
      <c r="A106" s="73" t="s">
        <v>166</v>
      </c>
      <c r="B106" s="70" t="s">
        <v>167</v>
      </c>
      <c r="C106" s="71">
        <f>12811+2255</f>
        <v>15066</v>
      </c>
      <c r="D106" s="71">
        <f>12811+2255</f>
        <v>15066</v>
      </c>
      <c r="E106" s="71">
        <f>12811+2255</f>
        <v>15066</v>
      </c>
      <c r="F106" s="71">
        <f>12811+2255</f>
        <v>15066</v>
      </c>
      <c r="G106" s="14">
        <f t="shared" si="4"/>
        <v>100</v>
      </c>
      <c r="H106" s="14">
        <f t="shared" si="5"/>
        <v>0</v>
      </c>
    </row>
    <row r="107" spans="1:8" ht="31.5">
      <c r="A107" s="73" t="s">
        <v>144</v>
      </c>
      <c r="B107" s="43" t="s">
        <v>186</v>
      </c>
      <c r="C107" s="71">
        <v>86519</v>
      </c>
      <c r="D107" s="71"/>
      <c r="E107" s="71"/>
      <c r="F107" s="71">
        <v>82261.3</v>
      </c>
      <c r="G107" s="14">
        <f t="shared" si="4"/>
        <v>95.07888440689328</v>
      </c>
      <c r="H107" s="14">
        <f t="shared" si="5"/>
        <v>-4257.699999999997</v>
      </c>
    </row>
    <row r="108" spans="1:8" ht="63">
      <c r="A108" s="73" t="s">
        <v>187</v>
      </c>
      <c r="B108" s="43" t="s">
        <v>188</v>
      </c>
      <c r="C108" s="71">
        <v>4674.562</v>
      </c>
      <c r="D108" s="71">
        <v>4674.562</v>
      </c>
      <c r="E108" s="71">
        <v>4674.562</v>
      </c>
      <c r="F108" s="71">
        <v>4674.562</v>
      </c>
      <c r="G108" s="14">
        <f t="shared" si="4"/>
        <v>100</v>
      </c>
      <c r="H108" s="14">
        <f t="shared" si="5"/>
        <v>0</v>
      </c>
    </row>
    <row r="109" spans="1:8" ht="94.5">
      <c r="A109" s="73" t="s">
        <v>189</v>
      </c>
      <c r="B109" s="43" t="s">
        <v>190</v>
      </c>
      <c r="C109" s="71">
        <f>33690</f>
        <v>33690</v>
      </c>
      <c r="D109" s="71">
        <f>33690</f>
        <v>33690</v>
      </c>
      <c r="E109" s="71">
        <f>33690</f>
        <v>33690</v>
      </c>
      <c r="F109" s="71">
        <f>33690</f>
        <v>33690</v>
      </c>
      <c r="G109" s="14">
        <f t="shared" si="4"/>
        <v>100</v>
      </c>
      <c r="H109" s="14">
        <f t="shared" si="5"/>
        <v>0</v>
      </c>
    </row>
    <row r="110" spans="1:8" ht="31.5">
      <c r="A110" s="73" t="s">
        <v>191</v>
      </c>
      <c r="B110" s="43" t="s">
        <v>17</v>
      </c>
      <c r="C110" s="71">
        <v>250</v>
      </c>
      <c r="D110" s="71">
        <v>250</v>
      </c>
      <c r="E110" s="71">
        <v>250</v>
      </c>
      <c r="F110" s="71">
        <v>250</v>
      </c>
      <c r="G110" s="14">
        <f t="shared" si="4"/>
        <v>100</v>
      </c>
      <c r="H110" s="14">
        <f t="shared" si="5"/>
        <v>0</v>
      </c>
    </row>
    <row r="111" spans="1:8" ht="94.5">
      <c r="A111" s="73" t="s">
        <v>192</v>
      </c>
      <c r="B111" s="43" t="s">
        <v>193</v>
      </c>
      <c r="C111" s="71">
        <v>849</v>
      </c>
      <c r="D111" s="71">
        <v>849</v>
      </c>
      <c r="E111" s="71">
        <v>849</v>
      </c>
      <c r="F111" s="71">
        <v>849</v>
      </c>
      <c r="G111" s="14">
        <f t="shared" si="4"/>
        <v>100</v>
      </c>
      <c r="H111" s="14">
        <f t="shared" si="5"/>
        <v>0</v>
      </c>
    </row>
    <row r="112" spans="1:8" ht="63">
      <c r="A112" s="73" t="s">
        <v>145</v>
      </c>
      <c r="B112" s="70" t="s">
        <v>194</v>
      </c>
      <c r="C112" s="71">
        <v>2234.4</v>
      </c>
      <c r="D112" s="71"/>
      <c r="E112" s="71"/>
      <c r="F112" s="71">
        <v>1001.88</v>
      </c>
      <c r="G112" s="14">
        <f t="shared" si="4"/>
        <v>44.838882921589686</v>
      </c>
      <c r="H112" s="14">
        <f t="shared" si="5"/>
        <v>-1232.52</v>
      </c>
    </row>
    <row r="113" spans="1:8" ht="78.75">
      <c r="A113" s="74" t="s">
        <v>146</v>
      </c>
      <c r="B113" s="70" t="s">
        <v>147</v>
      </c>
      <c r="C113" s="71">
        <v>1243.1</v>
      </c>
      <c r="D113" s="71"/>
      <c r="E113" s="71"/>
      <c r="F113" s="71">
        <v>720.19</v>
      </c>
      <c r="G113" s="14">
        <f t="shared" si="4"/>
        <v>57.93500120666077</v>
      </c>
      <c r="H113" s="14">
        <f t="shared" si="5"/>
        <v>-522.9099999999999</v>
      </c>
    </row>
    <row r="114" spans="1:8" ht="47.25">
      <c r="A114" s="73" t="s">
        <v>148</v>
      </c>
      <c r="B114" s="70" t="s">
        <v>195</v>
      </c>
      <c r="C114" s="71">
        <v>10708</v>
      </c>
      <c r="D114" s="71"/>
      <c r="E114" s="71"/>
      <c r="F114" s="71">
        <v>10128</v>
      </c>
      <c r="G114" s="14">
        <f t="shared" si="4"/>
        <v>94.58348898020171</v>
      </c>
      <c r="H114" s="14">
        <f t="shared" si="5"/>
        <v>-580</v>
      </c>
    </row>
    <row r="115" spans="1:8" ht="141.75">
      <c r="A115" s="73" t="s">
        <v>149</v>
      </c>
      <c r="B115" s="70" t="s">
        <v>168</v>
      </c>
      <c r="C115" s="71">
        <v>2414.97411</v>
      </c>
      <c r="D115" s="71"/>
      <c r="E115" s="71"/>
      <c r="F115" s="71">
        <v>2414.97</v>
      </c>
      <c r="G115" s="14">
        <f t="shared" si="4"/>
        <v>99.99982981184007</v>
      </c>
      <c r="H115" s="14">
        <f t="shared" si="5"/>
        <v>-0.00411000000030981</v>
      </c>
    </row>
    <row r="116" spans="1:8" ht="315">
      <c r="A116" s="73" t="s">
        <v>150</v>
      </c>
      <c r="B116" s="72" t="s">
        <v>196</v>
      </c>
      <c r="C116" s="71">
        <v>314907.5</v>
      </c>
      <c r="D116" s="71">
        <v>314907.5</v>
      </c>
      <c r="E116" s="71">
        <v>314907.5</v>
      </c>
      <c r="F116" s="71">
        <v>314907.5</v>
      </c>
      <c r="G116" s="14">
        <f t="shared" si="4"/>
        <v>100</v>
      </c>
      <c r="H116" s="14">
        <f t="shared" si="5"/>
        <v>0</v>
      </c>
    </row>
    <row r="117" spans="1:8" ht="63">
      <c r="A117" s="73" t="s">
        <v>151</v>
      </c>
      <c r="B117" s="32" t="s">
        <v>197</v>
      </c>
      <c r="C117" s="71">
        <v>15013.8</v>
      </c>
      <c r="D117" s="71">
        <v>15013.8</v>
      </c>
      <c r="E117" s="71">
        <v>15013.8</v>
      </c>
      <c r="F117" s="71">
        <v>15013.8</v>
      </c>
      <c r="G117" s="14">
        <f t="shared" si="4"/>
        <v>100</v>
      </c>
      <c r="H117" s="14">
        <f t="shared" si="5"/>
        <v>0</v>
      </c>
    </row>
    <row r="118" spans="1:8" ht="81.75" customHeight="1">
      <c r="A118" s="73" t="s">
        <v>152</v>
      </c>
      <c r="B118" s="32" t="s">
        <v>169</v>
      </c>
      <c r="C118" s="71">
        <f>1136.6+171.8</f>
        <v>1308.3999999999999</v>
      </c>
      <c r="D118" s="71">
        <f>1136.6+171.8</f>
        <v>1308.3999999999999</v>
      </c>
      <c r="E118" s="71">
        <f>1136.6+171.8</f>
        <v>1308.3999999999999</v>
      </c>
      <c r="F118" s="71">
        <f>1136.6+171.8</f>
        <v>1308.3999999999999</v>
      </c>
      <c r="G118" s="14">
        <f t="shared" si="4"/>
        <v>100</v>
      </c>
      <c r="H118" s="14">
        <f t="shared" si="5"/>
        <v>0</v>
      </c>
    </row>
    <row r="119" spans="1:8" ht="78.75">
      <c r="A119" s="73" t="s">
        <v>153</v>
      </c>
      <c r="B119" s="32" t="s">
        <v>170</v>
      </c>
      <c r="C119" s="71">
        <v>1947.1</v>
      </c>
      <c r="D119" s="71">
        <v>1947.1</v>
      </c>
      <c r="E119" s="71">
        <v>1947.1</v>
      </c>
      <c r="F119" s="71">
        <v>1947.1</v>
      </c>
      <c r="G119" s="14">
        <f t="shared" si="4"/>
        <v>100</v>
      </c>
      <c r="H119" s="14">
        <f t="shared" si="5"/>
        <v>0</v>
      </c>
    </row>
    <row r="120" spans="1:8" ht="78.75">
      <c r="A120" s="73" t="s">
        <v>154</v>
      </c>
      <c r="B120" s="32" t="s">
        <v>171</v>
      </c>
      <c r="C120" s="71">
        <v>1159.2</v>
      </c>
      <c r="D120" s="71">
        <v>1159.2</v>
      </c>
      <c r="E120" s="71">
        <v>1159.2</v>
      </c>
      <c r="F120" s="71">
        <v>1159.2</v>
      </c>
      <c r="G120" s="14">
        <f t="shared" si="4"/>
        <v>100</v>
      </c>
      <c r="H120" s="14">
        <f t="shared" si="5"/>
        <v>0</v>
      </c>
    </row>
    <row r="121" spans="1:8" ht="63">
      <c r="A121" s="73" t="s">
        <v>155</v>
      </c>
      <c r="B121" s="32" t="s">
        <v>172</v>
      </c>
      <c r="C121" s="71">
        <f>284.2+44</f>
        <v>328.2</v>
      </c>
      <c r="D121" s="71">
        <f>284.2+44</f>
        <v>328.2</v>
      </c>
      <c r="E121" s="71">
        <f>284.2+44</f>
        <v>328.2</v>
      </c>
      <c r="F121" s="71">
        <f>284.2+44</f>
        <v>328.2</v>
      </c>
      <c r="G121" s="14">
        <f t="shared" si="4"/>
        <v>100</v>
      </c>
      <c r="H121" s="14">
        <f t="shared" si="5"/>
        <v>0</v>
      </c>
    </row>
    <row r="122" spans="1:8" ht="47.25">
      <c r="A122" s="73" t="s">
        <v>156</v>
      </c>
      <c r="B122" s="32" t="s">
        <v>173</v>
      </c>
      <c r="C122" s="71">
        <f>1562.7+219.9</f>
        <v>1782.6000000000001</v>
      </c>
      <c r="D122" s="71">
        <f>1562.7+219.9</f>
        <v>1782.6000000000001</v>
      </c>
      <c r="E122" s="71">
        <f>1562.7+219.9</f>
        <v>1782.6000000000001</v>
      </c>
      <c r="F122" s="71">
        <f>1562.7+219.9</f>
        <v>1782.6000000000001</v>
      </c>
      <c r="G122" s="14">
        <f t="shared" si="4"/>
        <v>100</v>
      </c>
      <c r="H122" s="14">
        <f t="shared" si="5"/>
        <v>0</v>
      </c>
    </row>
    <row r="123" spans="1:8" ht="94.5">
      <c r="A123" s="73" t="s">
        <v>174</v>
      </c>
      <c r="B123" s="32" t="s">
        <v>198</v>
      </c>
      <c r="C123" s="71">
        <f>22898+1697.8</f>
        <v>24595.8</v>
      </c>
      <c r="D123" s="71">
        <f>22898+1697.8</f>
        <v>24595.8</v>
      </c>
      <c r="E123" s="71">
        <f>22898+1697.8</f>
        <v>24595.8</v>
      </c>
      <c r="F123" s="71">
        <f>22898+1697.8</f>
        <v>24595.8</v>
      </c>
      <c r="G123" s="14">
        <f t="shared" si="4"/>
        <v>100</v>
      </c>
      <c r="H123" s="14">
        <f t="shared" si="5"/>
        <v>0</v>
      </c>
    </row>
    <row r="124" spans="1:8" ht="78.75">
      <c r="A124" s="73" t="s">
        <v>175</v>
      </c>
      <c r="B124" s="32" t="s">
        <v>199</v>
      </c>
      <c r="C124" s="71">
        <v>2126.2</v>
      </c>
      <c r="D124" s="71">
        <v>2126.2</v>
      </c>
      <c r="E124" s="71">
        <v>2126.2</v>
      </c>
      <c r="F124" s="71">
        <v>2126.2</v>
      </c>
      <c r="G124" s="14">
        <f t="shared" si="4"/>
        <v>100</v>
      </c>
      <c r="H124" s="14">
        <f t="shared" si="5"/>
        <v>0</v>
      </c>
    </row>
    <row r="125" spans="1:8" ht="122.25" customHeight="1">
      <c r="A125" s="73" t="s">
        <v>176</v>
      </c>
      <c r="B125" s="32" t="s">
        <v>177</v>
      </c>
      <c r="C125" s="71">
        <f>646.8+2996.4+2247.3</f>
        <v>5890.5</v>
      </c>
      <c r="D125" s="81"/>
      <c r="E125" s="81"/>
      <c r="F125" s="71">
        <v>2894.1</v>
      </c>
      <c r="G125" s="14">
        <f t="shared" si="4"/>
        <v>49.13165266106442</v>
      </c>
      <c r="H125" s="14">
        <f t="shared" si="5"/>
        <v>-2996.4</v>
      </c>
    </row>
    <row r="126" spans="1:8" ht="47.25">
      <c r="A126" s="75" t="s">
        <v>157</v>
      </c>
      <c r="B126" s="70" t="s">
        <v>200</v>
      </c>
      <c r="C126" s="71">
        <v>2807.7</v>
      </c>
      <c r="D126" s="81"/>
      <c r="E126" s="81"/>
      <c r="F126" s="71">
        <v>975.2</v>
      </c>
      <c r="G126" s="14">
        <f t="shared" si="4"/>
        <v>34.73305552587527</v>
      </c>
      <c r="H126" s="14">
        <f t="shared" si="5"/>
        <v>-1832.4999999999998</v>
      </c>
    </row>
    <row r="127" spans="1:8" ht="59.25" customHeight="1">
      <c r="A127" s="75" t="s">
        <v>158</v>
      </c>
      <c r="B127" s="70" t="s">
        <v>201</v>
      </c>
      <c r="C127" s="71">
        <v>3462.8</v>
      </c>
      <c r="D127" s="81"/>
      <c r="E127" s="81"/>
      <c r="F127" s="71">
        <v>1196.62</v>
      </c>
      <c r="G127" s="14">
        <f t="shared" si="4"/>
        <v>34.55642832389973</v>
      </c>
      <c r="H127" s="14">
        <f t="shared" si="5"/>
        <v>-2266.1800000000003</v>
      </c>
    </row>
    <row r="128" spans="1:8" ht="31.5">
      <c r="A128" s="75" t="s">
        <v>159</v>
      </c>
      <c r="B128" s="70" t="s">
        <v>202</v>
      </c>
      <c r="C128" s="71">
        <v>28754.1</v>
      </c>
      <c r="D128" s="81"/>
      <c r="E128" s="81"/>
      <c r="F128" s="71">
        <v>17441.98</v>
      </c>
      <c r="G128" s="14">
        <f t="shared" si="4"/>
        <v>60.65910600575223</v>
      </c>
      <c r="H128" s="14">
        <f t="shared" si="5"/>
        <v>-11312.119999999999</v>
      </c>
    </row>
    <row r="129" spans="1:8" ht="110.25">
      <c r="A129" s="75" t="s">
        <v>160</v>
      </c>
      <c r="B129" s="70" t="s">
        <v>203</v>
      </c>
      <c r="C129" s="71">
        <v>14892.3</v>
      </c>
      <c r="D129" s="71">
        <v>14892.3</v>
      </c>
      <c r="E129" s="71">
        <v>14892.3</v>
      </c>
      <c r="F129" s="71">
        <v>14892.3</v>
      </c>
      <c r="G129" s="14">
        <f t="shared" si="4"/>
        <v>100</v>
      </c>
      <c r="H129" s="14">
        <f t="shared" si="5"/>
        <v>0</v>
      </c>
    </row>
    <row r="130" spans="1:8" ht="78.75">
      <c r="A130" s="75" t="s">
        <v>161</v>
      </c>
      <c r="B130" s="70" t="s">
        <v>204</v>
      </c>
      <c r="C130" s="71">
        <v>258.7</v>
      </c>
      <c r="D130" s="71">
        <v>258.7</v>
      </c>
      <c r="E130" s="71">
        <v>258.7</v>
      </c>
      <c r="F130" s="71">
        <v>258.7</v>
      </c>
      <c r="G130" s="14">
        <f t="shared" si="4"/>
        <v>100</v>
      </c>
      <c r="H130" s="14">
        <f t="shared" si="5"/>
        <v>0</v>
      </c>
    </row>
    <row r="131" spans="1:8" ht="63">
      <c r="A131" s="75" t="s">
        <v>205</v>
      </c>
      <c r="B131" s="70" t="s">
        <v>206</v>
      </c>
      <c r="C131" s="71">
        <v>28</v>
      </c>
      <c r="D131" s="71">
        <v>28</v>
      </c>
      <c r="E131" s="71">
        <v>28</v>
      </c>
      <c r="F131" s="71">
        <v>28</v>
      </c>
      <c r="G131" s="14">
        <f t="shared" si="4"/>
        <v>100</v>
      </c>
      <c r="H131" s="14">
        <f t="shared" si="5"/>
        <v>0</v>
      </c>
    </row>
    <row r="132" spans="1:8" ht="147" customHeight="1">
      <c r="A132" s="75" t="s">
        <v>207</v>
      </c>
      <c r="B132" s="70" t="s">
        <v>178</v>
      </c>
      <c r="C132" s="71">
        <f>19955+7899</f>
        <v>27854</v>
      </c>
      <c r="D132" s="81"/>
      <c r="E132" s="81"/>
      <c r="F132" s="71">
        <v>24512.92</v>
      </c>
      <c r="G132" s="14">
        <f t="shared" si="4"/>
        <v>88.00502620808501</v>
      </c>
      <c r="H132" s="14">
        <f t="shared" si="5"/>
        <v>-3341.0800000000017</v>
      </c>
    </row>
    <row r="133" spans="1:8" ht="63">
      <c r="A133" s="75" t="s">
        <v>208</v>
      </c>
      <c r="B133" s="70" t="s">
        <v>209</v>
      </c>
      <c r="C133" s="71">
        <v>6112.32</v>
      </c>
      <c r="D133" s="71">
        <v>6112.32</v>
      </c>
      <c r="E133" s="71">
        <v>6112.32</v>
      </c>
      <c r="F133" s="71">
        <v>6112.32</v>
      </c>
      <c r="G133" s="14">
        <f t="shared" si="4"/>
        <v>100</v>
      </c>
      <c r="H133" s="14">
        <f t="shared" si="5"/>
        <v>0</v>
      </c>
    </row>
    <row r="134" spans="1:8" ht="31.5">
      <c r="A134" s="89" t="s">
        <v>210</v>
      </c>
      <c r="B134" s="77" t="s">
        <v>211</v>
      </c>
      <c r="C134" s="82">
        <v>2500</v>
      </c>
      <c r="D134" s="83"/>
      <c r="E134" s="83"/>
      <c r="F134" s="80">
        <v>0</v>
      </c>
      <c r="G134" s="78">
        <f t="shared" si="4"/>
        <v>0</v>
      </c>
      <c r="H134" s="78">
        <f t="shared" si="5"/>
        <v>-2500</v>
      </c>
    </row>
    <row r="135" spans="1:8" ht="63">
      <c r="A135" s="79" t="s">
        <v>212</v>
      </c>
      <c r="B135" s="38" t="s">
        <v>213</v>
      </c>
      <c r="C135" s="71">
        <v>0</v>
      </c>
      <c r="D135" s="71"/>
      <c r="E135" s="71"/>
      <c r="F135" s="71">
        <v>-2725.34</v>
      </c>
      <c r="G135" s="14" t="e">
        <f t="shared" si="4"/>
        <v>#DIV/0!</v>
      </c>
      <c r="H135" s="14">
        <f t="shared" si="5"/>
        <v>-2725.34</v>
      </c>
    </row>
  </sheetData>
  <sheetProtection/>
  <mergeCells count="8">
    <mergeCell ref="B9:G9"/>
    <mergeCell ref="C2:H2"/>
    <mergeCell ref="C1:H1"/>
    <mergeCell ref="C6:H6"/>
    <mergeCell ref="C5:H5"/>
    <mergeCell ref="C4:H4"/>
    <mergeCell ref="C3:H3"/>
    <mergeCell ref="A8:H8"/>
  </mergeCells>
  <printOptions horizontalCentered="1"/>
  <pageMargins left="0.4330708661417323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KANUKOVA</cp:lastModifiedBy>
  <cp:lastPrinted>2012-04-02T09:46:13Z</cp:lastPrinted>
  <dcterms:created xsi:type="dcterms:W3CDTF">1996-10-08T23:32:33Z</dcterms:created>
  <dcterms:modified xsi:type="dcterms:W3CDTF">2012-04-27T06:50:06Z</dcterms:modified>
  <cp:category/>
  <cp:version/>
  <cp:contentType/>
  <cp:contentStatus/>
</cp:coreProperties>
</file>