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доходы сокр" sheetId="1" r:id="rId1"/>
  </sheets>
  <definedNames>
    <definedName name="_xlnm.Print_Titles" localSheetId="0">'доходы сокр'!$9:$10</definedName>
  </definedNames>
  <calcPr calcId="145621"/>
</workbook>
</file>

<file path=xl/calcChain.xml><?xml version="1.0" encoding="utf-8"?>
<calcChain xmlns="http://schemas.openxmlformats.org/spreadsheetml/2006/main">
  <c r="C129" i="1" l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 s="1"/>
  <c r="C85" i="1"/>
  <c r="C84" i="1"/>
  <c r="C83" i="1" s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7" i="1" s="1"/>
  <c r="C69" i="1"/>
  <c r="C68" i="1"/>
  <c r="C66" i="1"/>
  <c r="C65" i="1"/>
  <c r="C63" i="1"/>
  <c r="C62" i="1"/>
  <c r="C61" i="1" s="1"/>
  <c r="C60" i="1"/>
  <c r="C59" i="1"/>
  <c r="C58" i="1"/>
  <c r="C57" i="1"/>
  <c r="C56" i="1"/>
  <c r="C55" i="1"/>
  <c r="C54" i="1" s="1"/>
  <c r="C53" i="1"/>
  <c r="C52" i="1"/>
  <c r="C51" i="1"/>
  <c r="C50" i="1"/>
  <c r="C49" i="1"/>
  <c r="C48" i="1"/>
  <c r="C47" i="1"/>
  <c r="C46" i="1"/>
  <c r="C43" i="1"/>
  <c r="C42" i="1"/>
  <c r="C41" i="1"/>
  <c r="C40" i="1"/>
  <c r="C38" i="1"/>
  <c r="C37" i="1"/>
  <c r="C36" i="1"/>
  <c r="C34" i="1"/>
  <c r="C33" i="1" s="1"/>
  <c r="C32" i="1"/>
  <c r="C31" i="1"/>
  <c r="C30" i="1"/>
  <c r="C29" i="1" s="1"/>
  <c r="C28" i="1"/>
  <c r="C27" i="1"/>
  <c r="C26" i="1"/>
  <c r="C25" i="1"/>
  <c r="C24" i="1"/>
  <c r="C23" i="1"/>
  <c r="C22" i="1"/>
  <c r="C21" i="1"/>
  <c r="C18" i="1" s="1"/>
  <c r="C20" i="1"/>
  <c r="C19" i="1"/>
  <c r="C17" i="1"/>
  <c r="C14" i="1" s="1"/>
  <c r="C16" i="1"/>
  <c r="C15" i="1"/>
  <c r="C64" i="1" l="1"/>
  <c r="C35" i="1"/>
  <c r="C13" i="1" s="1"/>
  <c r="C12" i="1" s="1"/>
  <c r="C11" i="1" s="1"/>
  <c r="C45" i="1"/>
  <c r="C44" i="1" s="1"/>
  <c r="C39" i="1"/>
</calcChain>
</file>

<file path=xl/sharedStrings.xml><?xml version="1.0" encoding="utf-8"?>
<sst xmlns="http://schemas.openxmlformats.org/spreadsheetml/2006/main" count="243" uniqueCount="243">
  <si>
    <t>Доходы бюджета городского округа город Салават Республики Башкортостан  за 2013 год по кодам видов доходов, подвидов доходов, классификации операций сектора государственного управления, относящихся к доходов бюджетов</t>
  </si>
  <si>
    <t xml:space="preserve">Код бюджетной классификации Российской Федерации  </t>
  </si>
  <si>
    <t xml:space="preserve">Наименование кода группы, подгруппы, статьи, подстатьи, элемента, подвида доходов, статьи  (подстатьи) классификации операций сектора государственного управления, относящихся к доходам бюджетов    </t>
  </si>
  <si>
    <t>Кассовое исполнение</t>
  </si>
  <si>
    <t>Доходы</t>
  </si>
  <si>
    <t>100 00000 00 0000 000</t>
  </si>
  <si>
    <t>Всего налоговые и неналоговые доходы</t>
  </si>
  <si>
    <t>Налоговые доходы</t>
  </si>
  <si>
    <t>101 02000 01 0000 000</t>
  </si>
  <si>
    <t>Налог на доходы физических лиц</t>
  </si>
  <si>
    <t>\1010201001\\0000\110 \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</si>
  <si>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</si>
  <si>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\1010202001\\0000\110 \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</si>
  <si>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</si>
  <si>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\1010203001\\0000\110 \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</si>
  <si>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</si>
  <si>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105 00000 00 0000 000</t>
  </si>
  <si>
    <t>Налоги на совокупный доход</t>
  </si>
  <si>
    <t>\1050101101\\0000\110 \</t>
  </si>
  <si>
    <t>Налог, взимаемый с налогоплательщиков, выбравших в качестве объекта налогообложения доходы</t>
  </si>
  <si>
    <t>\1050101201\\0000\110 \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</si>
  <si>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</si>
  <si>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\1050102101\\0000\110 \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</si>
  <si>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</si>
  <si>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\1050102201\\0000\110 \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</si>
  <si>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</si>
  <si>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\1050105001\\0000\110 \</t>
  </si>
  <si>
    <t>Минимальный налог, зачисляемый в бюджеты субъектов Российской Федерации</t>
  </si>
  <si>
    <t>\1050201002\\0000\110 \</t>
  </si>
  <si>
    <t>Единый налог на вмененный доход для отдельных видов деятельности</t>
  </si>
  <si>
    <t>\1050202002\\0000\110 \</t>
  </si>
  <si>
    <t>Единый налог на вмененный доход для отдельных видов деятельности (за налоговые периоды, истекшие до 1 января 2011 года)</t>
  </si>
  <si>
    <t>\1050301001\\0000\110 \</t>
  </si>
  <si>
    <t>Единый сельскохозяйственный налог</t>
  </si>
  <si>
    <t>\1050302001\\0000\110 \</t>
  </si>
  <si>
    <t>Единый сельскохозяйственный налог (за налоговые периоды, истекшие до 1 января 2011 года)</t>
  </si>
  <si>
    <t>\1050401002\\0000\110 \</t>
  </si>
  <si>
    <t>Налог, взимаемый в связи с применением патентной системы налогообложения, зачисляемый в бюджеты городских округов</t>
  </si>
  <si>
    <t>106 00000 00 0000 000</t>
  </si>
  <si>
    <t>Налоги на имущество</t>
  </si>
  <si>
    <t>\1060102004\\0000\110 \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</si>
  <si>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</si>
  <si>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\1060601204\\0000\110 \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</si>
  <si>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</si>
  <si>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\1060602204\\0000\110 \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</si>
  <si>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</si>
  <si>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107 00000 00 0000 000</t>
  </si>
  <si>
    <t>Налоги, сборы и регулярные платежи за пользование природными ресурсами</t>
  </si>
  <si>
    <t>\1070102001\\0000\110 \</t>
  </si>
  <si>
    <t>Налог на добычу общераспространенных полезных ископаемых</t>
  </si>
  <si>
    <t>108 00000 00 0000 000</t>
  </si>
  <si>
    <t>Государственная пошлина</t>
  </si>
  <si>
    <t>\1080301001\\0000\110 \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</si>
  <si>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</si>
  <si>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\1080715001\\0000\110 \</t>
  </si>
  <si>
    <t>Государственная пошлина за выдачу разрешения на установку рекламной конструкции</t>
  </si>
  <si>
    <t>\1080717301\\0000\110 \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</si>
  <si>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</si>
  <si>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109 00000 00 0000 000</t>
  </si>
  <si>
    <t>Задолженность и перерасчеты по отмененным налогам, сборам и иныи обязательным платежам</t>
  </si>
  <si>
    <t>\1090405204\\0000\110 \</t>
  </si>
  <si>
    <t>Земельный налог (по обязательствам, возникшим до 1 января 2006 года), мобилизуемый на территориях городских округов</t>
  </si>
  <si>
    <t>\1090701204\\0000\110 \</t>
  </si>
  <si>
    <t>Налог на рекламу, мобилизуемый на территориях городских округов</t>
  </si>
  <si>
    <t>\1090703204\\0000\110 \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</si>
  <si>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</si>
  <si>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\1090705204\\0000\110 \</t>
  </si>
  <si>
    <t>Прочие местные налоги и сборы, мобилизуемые на территориях городских округов</t>
  </si>
  <si>
    <t>Неналоговые доходы</t>
  </si>
  <si>
    <t>111 00000 00 0000 000</t>
  </si>
  <si>
    <t>Доходы от использования имущества,находящегося в государственной и муниципальной собственности</t>
  </si>
  <si>
    <t>\1110104004\\0000\120 \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</si>
  <si>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</si>
  <si>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\1110501204\\0000\120 \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</si>
  <si>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</si>
  <si>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\1110502404\\0000\120 \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</si>
  <si>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</si>
  <si>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\1110503404\\0000\120 \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</si>
  <si>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</si>
  <si>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\1110507404\\0000\120 \</t>
  </si>
  <si>
    <t>Доходы от сдачи в аренду имущества, составляющего казну городских округов (за исключением земельных участков)</t>
  </si>
  <si>
    <t>\1110701404\\0000\120 \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</si>
  <si>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</si>
  <si>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\1110903404\\0000\120 \</t>
  </si>
  <si>
    <t>Доходы от эксплуатации и использования имущества автомобильных дорог, находящихся в собственности городских округов</t>
  </si>
  <si>
    <t>\1110904404\\0000\120 \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</si>
  <si>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</si>
  <si>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112 00000 00 0000 000</t>
  </si>
  <si>
    <t>Платежи при пользовании природными ресурсами</t>
  </si>
  <si>
    <t>\1120101001\\0000\120 \</t>
  </si>
  <si>
    <t>Плата за выбросы загрязняющих веществ в атмосферный воздух стационарными объектами</t>
  </si>
  <si>
    <t>\1120102001\\0000\120 \</t>
  </si>
  <si>
    <t>Плата за выбросы загрязняющих веществ в атмосферный воздух передвижными объектами</t>
  </si>
  <si>
    <t>\1120103001\\0000\120 \</t>
  </si>
  <si>
    <t>Плата за сбросы загрязняющих веществ в водные объекты</t>
  </si>
  <si>
    <t>\1120104001\\0000\120 \</t>
  </si>
  <si>
    <t>Плата за размещение отходов производства и потребления</t>
  </si>
  <si>
    <t>\1120105001\\0000\120 \</t>
  </si>
  <si>
    <t>Плата за иные виды негативного воздействия на окружающую среду</t>
  </si>
  <si>
    <t>\1120107001\\0000\120 \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</si>
  <si>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</si>
  <si>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113 00000 00 0000 000</t>
  </si>
  <si>
    <t>Доходы от оказания платных услуг (работ) и компенсации затрат государства</t>
  </si>
  <si>
    <t>\1130199404\\0000\130 \</t>
  </si>
  <si>
    <t>Прочие доходы от оказания платных услуг (работ) получателями средств бюджетов городских округов</t>
  </si>
  <si>
    <t>\1130299404\\0000\130 \</t>
  </si>
  <si>
    <t>Прочие доходы от компенсации затрат бюджетов городских округов</t>
  </si>
  <si>
    <t>114 00000 00 0000 000</t>
  </si>
  <si>
    <t>Доходы от продажи материальных и нематериальных активов</t>
  </si>
  <si>
    <t>\1140204304\\0000\410 \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</si>
  <si>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</si>
  <si>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\1140601204\\0000\430 \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</si>
  <si>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</si>
  <si>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116 00000 00 0000 000</t>
  </si>
  <si>
    <t>Штрафы, санкции, возмещение ущерба</t>
  </si>
  <si>
    <t>\1160301001\\0000\140 \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</si>
  <si>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119_1, пунктами 1 и 2 статьи 120, статьями 125, 126, 128, 129, 129_1,  статьями 129_4, 132, 133, 134, 135, 135_1 и 135_2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</si>
  <si>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\1160303001\\0000\140 \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</si>
  <si>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</si>
  <si>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\1160600001\\0000\140 \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</si>
  <si>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</si>
  <si>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\1160801001\\0000\140 \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</si>
  <si>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</si>
  <si>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\1162304104\\0000\140 \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</si>
  <si>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</si>
  <si>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\1162503001\\0000\140 \</t>
  </si>
  <si>
    <t>Денежные взыскания (штрафы) за нарушение законодательства Российской Федерации об охране и использовании животного мира</t>
  </si>
  <si>
    <t>\1162505001\\0000\140 \</t>
  </si>
  <si>
    <t>Денежные взыскания (штрафы) за нарушение законодательства в области охраны окружающей среды</t>
  </si>
  <si>
    <t>\1162506001\\0000\140 \</t>
  </si>
  <si>
    <t>Денежные взыскания (штрафы) за нарушение земельного законодательства</t>
  </si>
  <si>
    <t>\1162800001\\0000\140 \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</si>
  <si>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</si>
  <si>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\1163001301\\0000\140 \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</si>
  <si>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</si>
  <si>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\1163003001\\0000\140 \</t>
  </si>
  <si>
    <t>Прочие денежные взыскания (штрафы) за  правонарушения в области дорожного движения</t>
  </si>
  <si>
    <t>\1164100001\\0000\140 \</t>
  </si>
  <si>
    <t>Денежные взыскания (штрафы) за нарушение законодательства Российской Федерации об электроэнергетике</t>
  </si>
  <si>
    <t>\1164300001\\0000\140 \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</si>
  <si>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</si>
  <si>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\1164500001\\0000\140 \</t>
  </si>
  <si>
    <t>Денежные взыскания (штрафы) за нарушения законодательства Российской Федерации о промышленной безопасности</t>
  </si>
  <si>
    <t>\1169004004\081\0000\140 \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</si>
  <si>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</si>
  <si>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117 00000 00 0000 000</t>
  </si>
  <si>
    <t>Прочие неналоговые доходы</t>
  </si>
  <si>
    <t>\1170104004\\0000\180 \</t>
  </si>
  <si>
    <t>Невыясненные поступления, зачисляемые в бюджеты городских округов</t>
  </si>
  <si>
    <t>\1170504004\\0000\180 \</t>
  </si>
  <si>
    <t>Прочие неналоговые доходы бюджетов городских округов</t>
  </si>
  <si>
    <t>200 00000 00 0000 000</t>
  </si>
  <si>
    <t>Безвозмездные поступления</t>
  </si>
  <si>
    <t>\2020100304\\0000\151 \</t>
  </si>
  <si>
    <t>Дотации бюджетам городских округов на поддержку мер по обеспечению сбалансированности бюджетов</t>
  </si>
  <si>
    <t>\2020200804\\0000\151 \</t>
  </si>
  <si>
    <t>Субсидии бюджетам городских округов на обеспечение жильем молодых семей</t>
  </si>
  <si>
    <t>\2020200904\\0000\151 \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</si>
  <si>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</si>
  <si>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\2020204104\\0000\151 \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</si>
  <si>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</si>
  <si>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\2020205104\\0000\151 \</t>
  </si>
  <si>
    <t>Субсидии бюджетам городских округов на реализацию федеральных целевых программ</t>
  </si>
  <si>
    <t>\2020207704\\0000\151 \</t>
  </si>
  <si>
    <t>Субсидии бюджетам городских округов на  бюджетные инвестиции в объекты капитального строительства собственности муниципальных образований</t>
  </si>
  <si>
    <t>\2020214504\\0000\151 \</t>
  </si>
  <si>
    <t>Субсидии бюджетам городских округов на модернизацию региональных систем общего образования</t>
  </si>
  <si>
    <t>\2020220404\\0000\151 \</t>
  </si>
  <si>
    <t>Субсидии бюджетам городских округов на модернизацию региональных систем дошкольного образования</t>
  </si>
  <si>
    <t>\2020299904\\7101\151 \</t>
  </si>
  <si>
    <t>Прочие субсидии бюджетам городских округов на софинансирование расходных обязательств</t>
  </si>
  <si>
    <t>\2020299904\\7108\151 \</t>
  </si>
  <si>
    <t>Прочие субсидии бюджетам городских округов на реализацию Программ повышения эффективности бюджетных расходов</t>
  </si>
  <si>
    <t>\2020299904\\7113\151 \</t>
  </si>
  <si>
    <t>Прочие субсидии бюджетам городских округов на проведение кадастровых работ по межеванию земельных участков в целях их предоставления гражданам, имеющим трех и более несовершеннолетних детей, а также ребенка-инвалида</t>
  </si>
  <si>
    <t>\2020299904\\7114\151 \</t>
  </si>
  <si>
    <t>Прочие 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</si>
  <si>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\2020299904\\7115\151 \</t>
  </si>
  <si>
    <t>Прочие субсидии бюджетам городских округов на софинансирование комплексных программ развития систем коммунальной инфраструктуры</t>
  </si>
  <si>
    <t>\2020299904\\7116\151 \</t>
  </si>
  <si>
    <t>Прочие субсидии бюджетам городских округов на реализацию адресной программы Республики Башкортостан на период 2011-2015 годов по замене и модернизации лифтов, отработавших нормативный срок службы</t>
  </si>
  <si>
    <t>\2020299904\\7119\151 \</t>
  </si>
  <si>
    <t>Прочие субсидии бюджетам городских округов на софинансирование расходов муниципальных образований, возникающих при доведении средней заработной платы педагогических работников муниципальных дошкольных образовательных учреждений до средней заработной платы в сфере общего образования Республики Башкортостан</t>
  </si>
  <si>
    <t>\2020299904\\7120\151 \</t>
  </si>
  <si>
    <t>Прочие субсидии бюджетам городских округов на оснащение детских музыкальных школ и школ искусств музыкальными инструментами</t>
  </si>
  <si>
    <t>\2020299904\\7122\151 \</t>
  </si>
  <si>
    <t>Прочие 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</si>
  <si>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\2020299904\\7124\151 \</t>
  </si>
  <si>
    <t>Прочие 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</si>
  <si>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\2020299904\\7125\151 \</t>
  </si>
  <si>
    <t>Прочие 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в Республике Башкортостан</t>
  </si>
  <si>
    <t>\2020302004\\0000\151 \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</si>
  <si>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</si>
  <si>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\2020302104\\0000\151 \</t>
  </si>
  <si>
    <t>Субвенции бюджетам городских округов на  ежемесячное денежное вознаграждение за классное руководство</t>
  </si>
  <si>
    <t>\2020302404\\7206\151 \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</si>
  <si>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</si>
  <si>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\2020302404\\7210\151 \</t>
  </si>
  <si>
    <t>Субвенции бюджетам городских округов на создание и обеспечение деятельности административных комиссий</t>
  </si>
  <si>
    <t>\2020302404\\7211\151 \</t>
  </si>
  <si>
    <t>Субвенции бюджетам городских округов на организацию и осуществление деятельности по опеке и попечительству</t>
  </si>
  <si>
    <t>\2020302404\\7202\151 \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</si>
  <si>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</si>
  <si>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\2020302404\\7203\151 \</t>
  </si>
  <si>
    <t>Субвенции бюджетам городских округов для реализации основных общеобразовательных программ, направленных на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 в общеобразовательных учреждениях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</si>
  <si>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>\2020302404\\7231\151 \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</si>
  <si>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</si>
  <si>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\2020302404\\7232\151 \</t>
  </si>
  <si>
    <t>Субвенции бюджетам городских округов на отдых и оздоровление детей-сирот и детей, оставшихся без попечения родителей, за счет средств бюджета Республики Башкортостан</t>
  </si>
  <si>
    <t>\2020302404\\7251\151 \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</si>
  <si>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</si>
  <si>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\2020302704\\7221\151 \</t>
  </si>
  <si>
    <t>Субвенции бюджетам городских округов на содержание ребенка в приемной семье</t>
  </si>
  <si>
    <t>\2020302704\\7222\151 \</t>
  </si>
  <si>
    <t>Субвенции бюджетам городских округов на вознаграждение, причитающееся приемному родителю</t>
  </si>
  <si>
    <t>\2020302704\\7223\151 \</t>
  </si>
  <si>
    <t>Субвенции бюджетам городских округов на содержание ребенка в семье опекуна</t>
  </si>
  <si>
    <t>\2020302904\\0000\151 \</t>
  </si>
  <si>
    <t>Субвенции бюджетам городских округов на 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</si>
  <si>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\2020307804\\0000\151 \</t>
  </si>
  <si>
    <t>Субвенции бюджетам городских округов на модернизацию региональных систем общего образования</t>
  </si>
  <si>
    <t>\2020311904\\0000\151 \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</si>
  <si>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</si>
  <si>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\2020402504\\0000\151 \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</si>
  <si>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</si>
  <si>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\2020499904\\7505\151 \</t>
  </si>
  <si>
    <t>Прочие межбюджетные трансферты, передаваемые бюджетам городских округов на премирование победителей республиканского конкурса "Лучший многоквартирный дом"</t>
  </si>
  <si>
    <t>\2020499904\\7301\151 \</t>
  </si>
  <si>
    <t>Прочие межбюджетные трансферты, передаваемые бюджетам городских округов</t>
  </si>
  <si>
    <t>\2020499904\\7314\151 \</t>
  </si>
  <si>
    <t>Прочие межбюджетные трансферты, передаваемые бюджетам городских округов как ежемесячная надбавка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</si>
  <si>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\2020499904\\7501\151 \</t>
  </si>
  <si>
    <t>Прочие 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</si>
  <si>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\2180401004\\0000\180 \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</si>
  <si>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</si>
  <si>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\2180402004\\0000\180 \</t>
  </si>
  <si>
    <t>Доходы бюджетов городских округов от возврата автономными учреждениями остатков субсидий прошлых лет</t>
  </si>
  <si>
    <t>\2190400004\\0000\151 \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</si>
  <si>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</si>
  <si>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(тыс. рублей)</t>
  </si>
  <si>
    <t xml:space="preserve">                                                        Приложение 2</t>
  </si>
  <si>
    <t xml:space="preserve">                                                        к решению Совета городского округа</t>
  </si>
  <si>
    <t xml:space="preserve">                                                        город Салават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</si>
</sst>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49" fontId="1" fillId="0" borderId="1" xfId="0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2" fontId="1" fillId="0" borderId="0" xfId="0" applyNumberFormat="1" applyFont="1"/>
    <xf numFmtId="49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right" vertical="center" shrinkToFit="1"/>
    </xf>
    <xf numFmtId="164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topLeftCell="A28" zoomScaleNormal="100" workbookViewId="0">
      <selection activeCell="F9" sqref="F9"/>
    </sheetView>
  </sheetViews>
  <sheetFormatPr defaultRowHeight="15.75" x14ac:dyDescent="0.25"/>
  <cols>
    <col min="1" max="1" width="24.28515625" style="1" customWidth="1"/>
    <col min="2" max="2" width="55.28515625" style="1" customWidth="1"/>
    <col min="3" max="3" width="14.7109375" style="25" customWidth="1"/>
    <col min="4" max="16384" width="9.140625" style="1"/>
  </cols>
  <sheetData>
    <row r="1" spans="1:3" x14ac:dyDescent="0.25">
      <c r="B1" s="17" t="s">
        <v>240</v>
      </c>
      <c r="C1" s="17"/>
    </row>
    <row r="2" spans="1:3" x14ac:dyDescent="0.25">
      <c r="B2" s="17" t="s">
        <v>241</v>
      </c>
      <c r="C2" s="17"/>
    </row>
    <row r="3" spans="1:3" x14ac:dyDescent="0.25">
      <c r="B3" s="17" t="s">
        <v>242</v>
      </c>
      <c r="C3" s="17"/>
    </row>
    <row r="4" spans="1:3" x14ac:dyDescent="0.25">
      <c r="B4" s="18"/>
      <c r="C4" s="19"/>
    </row>
    <row r="5" spans="1:3" x14ac:dyDescent="0.25">
      <c r="A5" s="20" t="s">
        <v>0</v>
      </c>
      <c r="B5" s="21"/>
      <c r="C5" s="21"/>
    </row>
    <row r="6" spans="1:3" ht="30" customHeight="1" x14ac:dyDescent="0.25">
      <c r="A6" s="21"/>
      <c r="B6" s="21"/>
      <c r="C6" s="21"/>
    </row>
    <row r="7" spans="1:3" x14ac:dyDescent="0.25">
      <c r="A7" s="2"/>
      <c r="B7" s="2"/>
      <c r="C7" s="22"/>
    </row>
    <row r="8" spans="1:3" x14ac:dyDescent="0.25">
      <c r="B8" s="15" t="s">
        <v>239</v>
      </c>
      <c r="C8" s="16"/>
    </row>
    <row r="9" spans="1:3" s="27" customFormat="1" ht="78.75" x14ac:dyDescent="0.25">
      <c r="A9" s="26" t="s">
        <v>1</v>
      </c>
      <c r="B9" s="26" t="s">
        <v>2</v>
      </c>
      <c r="C9" s="26" t="s">
        <v>3</v>
      </c>
    </row>
    <row r="10" spans="1:3" x14ac:dyDescent="0.25">
      <c r="A10" s="3">
        <v>1</v>
      </c>
      <c r="B10" s="3">
        <v>2</v>
      </c>
      <c r="C10" s="3">
        <v>3</v>
      </c>
    </row>
    <row r="11" spans="1:3" x14ac:dyDescent="0.25">
      <c r="A11" s="4"/>
      <c r="B11" s="5" t="s">
        <v>4</v>
      </c>
      <c r="C11" s="23">
        <f>C12+C86</f>
        <v>2170529.3952600001</v>
      </c>
    </row>
    <row r="12" spans="1:3" x14ac:dyDescent="0.25">
      <c r="A12" s="6" t="s">
        <v>5</v>
      </c>
      <c r="B12" s="5" t="s">
        <v>6</v>
      </c>
      <c r="C12" s="23">
        <f>C13+C44</f>
        <v>1179936.5672600002</v>
      </c>
    </row>
    <row r="13" spans="1:3" x14ac:dyDescent="0.25">
      <c r="A13" s="7"/>
      <c r="B13" s="5" t="s">
        <v>7</v>
      </c>
      <c r="C13" s="23">
        <f>C14+C18+C29+C33+C35+C39</f>
        <v>562892.74923000007</v>
      </c>
    </row>
    <row r="14" spans="1:3" s="9" customFormat="1" x14ac:dyDescent="0.25">
      <c r="A14" s="8" t="s">
        <v>8</v>
      </c>
      <c r="B14" s="5" t="s">
        <v>9</v>
      </c>
      <c r="C14" s="23">
        <f>C15+C16+C17</f>
        <v>418991.58176999999</v>
      </c>
    </row>
    <row r="15" spans="1:3" ht="94.5" x14ac:dyDescent="0.25">
      <c r="A15" s="10" t="s">
        <v>10</v>
      </c>
      <c r="B15" s="11" t="s">
        <v>11</v>
      </c>
      <c r="C15" s="24">
        <f>415770484.84/1000</f>
        <v>415770.48483999999</v>
      </c>
    </row>
    <row r="16" spans="1:3" ht="141.75" x14ac:dyDescent="0.25">
      <c r="A16" s="10" t="s">
        <v>12</v>
      </c>
      <c r="B16" s="11" t="s">
        <v>13</v>
      </c>
      <c r="C16" s="24">
        <f>674081.89/1000</f>
        <v>674.08189000000004</v>
      </c>
    </row>
    <row r="17" spans="1:3" ht="63" x14ac:dyDescent="0.25">
      <c r="A17" s="10" t="s">
        <v>14</v>
      </c>
      <c r="B17" s="11" t="s">
        <v>15</v>
      </c>
      <c r="C17" s="24">
        <f>2547015.04/1000</f>
        <v>2547.0150400000002</v>
      </c>
    </row>
    <row r="18" spans="1:3" s="9" customFormat="1" x14ac:dyDescent="0.25">
      <c r="A18" s="12" t="s">
        <v>16</v>
      </c>
      <c r="B18" s="5" t="s">
        <v>17</v>
      </c>
      <c r="C18" s="23">
        <f>C19+C20+C21+C22+C23+C24+C25+C26+C27+C28</f>
        <v>96826.018769999995</v>
      </c>
    </row>
    <row r="19" spans="1:3" ht="31.5" x14ac:dyDescent="0.25">
      <c r="A19" s="10" t="s">
        <v>18</v>
      </c>
      <c r="B19" s="11" t="s">
        <v>19</v>
      </c>
      <c r="C19" s="24">
        <f>5891172.54/1000</f>
        <v>5891.1725400000005</v>
      </c>
    </row>
    <row r="20" spans="1:3" ht="47.25" x14ac:dyDescent="0.25">
      <c r="A20" s="10" t="s">
        <v>20</v>
      </c>
      <c r="B20" s="11" t="s">
        <v>21</v>
      </c>
      <c r="C20" s="24">
        <f>-4985.26/1000</f>
        <v>-4.9852600000000002</v>
      </c>
    </row>
    <row r="21" spans="1:3" ht="47.25" x14ac:dyDescent="0.25">
      <c r="A21" s="10" t="s">
        <v>22</v>
      </c>
      <c r="B21" s="11" t="s">
        <v>23</v>
      </c>
      <c r="C21" s="24">
        <f>1271284.52/1000</f>
        <v>1271.2845199999999</v>
      </c>
    </row>
    <row r="22" spans="1:3" ht="63" x14ac:dyDescent="0.25">
      <c r="A22" s="10" t="s">
        <v>24</v>
      </c>
      <c r="B22" s="11" t="s">
        <v>25</v>
      </c>
      <c r="C22" s="24">
        <f>19459.51/1000</f>
        <v>19.459509999999998</v>
      </c>
    </row>
    <row r="23" spans="1:3" ht="31.5" x14ac:dyDescent="0.25">
      <c r="A23" s="10" t="s">
        <v>26</v>
      </c>
      <c r="B23" s="11" t="s">
        <v>27</v>
      </c>
      <c r="C23" s="24">
        <f>619039.46/1000</f>
        <v>619.03945999999996</v>
      </c>
    </row>
    <row r="24" spans="1:3" ht="31.5" x14ac:dyDescent="0.25">
      <c r="A24" s="10" t="s">
        <v>28</v>
      </c>
      <c r="B24" s="11" t="s">
        <v>29</v>
      </c>
      <c r="C24" s="24">
        <f>83465915.77/1000</f>
        <v>83465.915769999992</v>
      </c>
    </row>
    <row r="25" spans="1:3" ht="47.25" x14ac:dyDescent="0.25">
      <c r="A25" s="10" t="s">
        <v>30</v>
      </c>
      <c r="B25" s="11" t="s">
        <v>31</v>
      </c>
      <c r="C25" s="24">
        <f>482724.75/1000</f>
        <v>482.72474999999997</v>
      </c>
    </row>
    <row r="26" spans="1:3" x14ac:dyDescent="0.25">
      <c r="A26" s="10" t="s">
        <v>32</v>
      </c>
      <c r="B26" s="11" t="s">
        <v>33</v>
      </c>
      <c r="C26" s="24">
        <f>10364.82/1000</f>
        <v>10.36482</v>
      </c>
    </row>
    <row r="27" spans="1:3" ht="31.5" x14ac:dyDescent="0.25">
      <c r="A27" s="10" t="s">
        <v>34</v>
      </c>
      <c r="B27" s="11" t="s">
        <v>35</v>
      </c>
      <c r="C27" s="24">
        <f>2637.69/1000</f>
        <v>2.6376900000000001</v>
      </c>
    </row>
    <row r="28" spans="1:3" ht="47.25" x14ac:dyDescent="0.25">
      <c r="A28" s="10" t="s">
        <v>36</v>
      </c>
      <c r="B28" s="11" t="s">
        <v>37</v>
      </c>
      <c r="C28" s="24">
        <f>5068404.97/1000</f>
        <v>5068.4049699999996</v>
      </c>
    </row>
    <row r="29" spans="1:3" s="9" customFormat="1" x14ac:dyDescent="0.25">
      <c r="A29" s="12" t="s">
        <v>38</v>
      </c>
      <c r="B29" s="5" t="s">
        <v>39</v>
      </c>
      <c r="C29" s="23">
        <f>C30+C31+C32</f>
        <v>36082.802889999999</v>
      </c>
    </row>
    <row r="30" spans="1:3" ht="47.25" x14ac:dyDescent="0.25">
      <c r="A30" s="10" t="s">
        <v>40</v>
      </c>
      <c r="B30" s="11" t="s">
        <v>41</v>
      </c>
      <c r="C30" s="24">
        <f>8617635.18/1000</f>
        <v>8617.6351799999993</v>
      </c>
    </row>
    <row r="31" spans="1:3" ht="94.5" x14ac:dyDescent="0.25">
      <c r="A31" s="10" t="s">
        <v>42</v>
      </c>
      <c r="B31" s="11" t="s">
        <v>43</v>
      </c>
      <c r="C31" s="24">
        <f>927193.32/1000</f>
        <v>927.19331999999997</v>
      </c>
    </row>
    <row r="32" spans="1:3" ht="94.5" x14ac:dyDescent="0.25">
      <c r="A32" s="10" t="s">
        <v>44</v>
      </c>
      <c r="B32" s="11" t="s">
        <v>45</v>
      </c>
      <c r="C32" s="24">
        <f>26537974.39/1000</f>
        <v>26537.974389999999</v>
      </c>
    </row>
    <row r="33" spans="1:3" s="9" customFormat="1" ht="31.5" x14ac:dyDescent="0.25">
      <c r="A33" s="12" t="s">
        <v>46</v>
      </c>
      <c r="B33" s="5" t="s">
        <v>47</v>
      </c>
      <c r="C33" s="23">
        <f>C34</f>
        <v>593.005</v>
      </c>
    </row>
    <row r="34" spans="1:3" ht="31.5" x14ac:dyDescent="0.25">
      <c r="A34" s="10" t="s">
        <v>48</v>
      </c>
      <c r="B34" s="11" t="s">
        <v>49</v>
      </c>
      <c r="C34" s="24">
        <f>593005/1000</f>
        <v>593.005</v>
      </c>
    </row>
    <row r="35" spans="1:3" s="9" customFormat="1" x14ac:dyDescent="0.25">
      <c r="A35" s="12" t="s">
        <v>50</v>
      </c>
      <c r="B35" s="5" t="s">
        <v>51</v>
      </c>
      <c r="C35" s="23">
        <f>C36+C37+C38</f>
        <v>10492.57192</v>
      </c>
    </row>
    <row r="36" spans="1:3" ht="63" x14ac:dyDescent="0.25">
      <c r="A36" s="10" t="s">
        <v>52</v>
      </c>
      <c r="B36" s="11" t="s">
        <v>53</v>
      </c>
      <c r="C36" s="24">
        <f>10452571.92/1000</f>
        <v>10452.57192</v>
      </c>
    </row>
    <row r="37" spans="1:3" ht="31.5" x14ac:dyDescent="0.25">
      <c r="A37" s="10" t="s">
        <v>54</v>
      </c>
      <c r="B37" s="11" t="s">
        <v>55</v>
      </c>
      <c r="C37" s="24">
        <f>15000/1000</f>
        <v>15</v>
      </c>
    </row>
    <row r="38" spans="1:3" ht="93.75" customHeight="1" x14ac:dyDescent="0.25">
      <c r="A38" s="10" t="s">
        <v>56</v>
      </c>
      <c r="B38" s="11" t="s">
        <v>57</v>
      </c>
      <c r="C38" s="24">
        <f>25000/1000</f>
        <v>25</v>
      </c>
    </row>
    <row r="39" spans="1:3" s="9" customFormat="1" ht="31.5" x14ac:dyDescent="0.25">
      <c r="A39" s="12" t="s">
        <v>58</v>
      </c>
      <c r="B39" s="13" t="s">
        <v>59</v>
      </c>
      <c r="C39" s="23">
        <f>C40+C41+C42+C43</f>
        <v>-93.23111999999999</v>
      </c>
    </row>
    <row r="40" spans="1:3" ht="47.25" x14ac:dyDescent="0.25">
      <c r="A40" s="10" t="s">
        <v>60</v>
      </c>
      <c r="B40" s="11" t="s">
        <v>61</v>
      </c>
      <c r="C40" s="24">
        <f>-78253.68/1000</f>
        <v>-78.253679999999989</v>
      </c>
    </row>
    <row r="41" spans="1:3" ht="31.5" x14ac:dyDescent="0.25">
      <c r="A41" s="10" t="s">
        <v>62</v>
      </c>
      <c r="B41" s="11" t="s">
        <v>63</v>
      </c>
      <c r="C41" s="24">
        <f>- 739.52/1000</f>
        <v>-0.73951999999999996</v>
      </c>
    </row>
    <row r="42" spans="1:3" ht="78.75" x14ac:dyDescent="0.25">
      <c r="A42" s="10" t="s">
        <v>64</v>
      </c>
      <c r="B42" s="11" t="s">
        <v>65</v>
      </c>
      <c r="C42" s="24">
        <f>-12835.22/1000</f>
        <v>-12.83522</v>
      </c>
    </row>
    <row r="43" spans="1:3" ht="31.5" x14ac:dyDescent="0.25">
      <c r="A43" s="10" t="s">
        <v>66</v>
      </c>
      <c r="B43" s="11" t="s">
        <v>67</v>
      </c>
      <c r="C43" s="24">
        <f>-1402.7/1000</f>
        <v>-1.4027000000000001</v>
      </c>
    </row>
    <row r="44" spans="1:3" s="9" customFormat="1" x14ac:dyDescent="0.25">
      <c r="A44" s="12"/>
      <c r="B44" s="5" t="s">
        <v>68</v>
      </c>
      <c r="C44" s="23">
        <f>C45+C54+C61+C64+C67+C83</f>
        <v>617043.81803000008</v>
      </c>
    </row>
    <row r="45" spans="1:3" s="9" customFormat="1" ht="47.25" x14ac:dyDescent="0.25">
      <c r="A45" s="12" t="s">
        <v>69</v>
      </c>
      <c r="B45" s="5" t="s">
        <v>70</v>
      </c>
      <c r="C45" s="23">
        <f>C46+C47+C48+C49+C50+C51+C52+C53</f>
        <v>414401.11559</v>
      </c>
    </row>
    <row r="46" spans="1:3" ht="63" x14ac:dyDescent="0.25">
      <c r="A46" s="10" t="s">
        <v>71</v>
      </c>
      <c r="B46" s="11" t="s">
        <v>72</v>
      </c>
      <c r="C46" s="24">
        <f>4119404/1000</f>
        <v>4119.4040000000005</v>
      </c>
    </row>
    <row r="47" spans="1:3" ht="94.5" x14ac:dyDescent="0.25">
      <c r="A47" s="10" t="s">
        <v>73</v>
      </c>
      <c r="B47" s="11" t="s">
        <v>74</v>
      </c>
      <c r="C47" s="24">
        <f>317882606.04/1000</f>
        <v>317882.60604000004</v>
      </c>
    </row>
    <row r="48" spans="1:3" ht="94.5" x14ac:dyDescent="0.25">
      <c r="A48" s="10" t="s">
        <v>75</v>
      </c>
      <c r="B48" s="11" t="s">
        <v>76</v>
      </c>
      <c r="C48" s="24">
        <f>1997961.99/1000</f>
        <v>1997.96199</v>
      </c>
    </row>
    <row r="49" spans="1:3" ht="78.75" x14ac:dyDescent="0.25">
      <c r="A49" s="10" t="s">
        <v>77</v>
      </c>
      <c r="B49" s="11" t="s">
        <v>78</v>
      </c>
      <c r="C49" s="24">
        <f>704992.78/1000</f>
        <v>704.99278000000004</v>
      </c>
    </row>
    <row r="50" spans="1:3" ht="47.25" x14ac:dyDescent="0.25">
      <c r="A50" s="10" t="s">
        <v>79</v>
      </c>
      <c r="B50" s="11" t="s">
        <v>80</v>
      </c>
      <c r="C50" s="24">
        <f>73968101.77/1000</f>
        <v>73968.101769999994</v>
      </c>
    </row>
    <row r="51" spans="1:3" ht="63" x14ac:dyDescent="0.25">
      <c r="A51" s="10" t="s">
        <v>81</v>
      </c>
      <c r="B51" s="11" t="s">
        <v>82</v>
      </c>
      <c r="C51" s="24">
        <f>3721013.7/1000</f>
        <v>3721.0137</v>
      </c>
    </row>
    <row r="52" spans="1:3" ht="47.25" x14ac:dyDescent="0.25">
      <c r="A52" s="10" t="s">
        <v>83</v>
      </c>
      <c r="B52" s="11" t="s">
        <v>84</v>
      </c>
      <c r="C52" s="24">
        <f>415285.79/1000</f>
        <v>415.28578999999996</v>
      </c>
    </row>
    <row r="53" spans="1:3" ht="94.5" x14ac:dyDescent="0.25">
      <c r="A53" s="10" t="s">
        <v>85</v>
      </c>
      <c r="B53" s="11" t="s">
        <v>86</v>
      </c>
      <c r="C53" s="24">
        <f>11591749.52/1000</f>
        <v>11591.749519999999</v>
      </c>
    </row>
    <row r="54" spans="1:3" s="9" customFormat="1" x14ac:dyDescent="0.25">
      <c r="A54" s="12" t="s">
        <v>87</v>
      </c>
      <c r="B54" s="5" t="s">
        <v>88</v>
      </c>
      <c r="C54" s="23">
        <f>C55+C56+C57+C58+C59+C60</f>
        <v>7402.1612600000008</v>
      </c>
    </row>
    <row r="55" spans="1:3" ht="31.5" x14ac:dyDescent="0.25">
      <c r="A55" s="10" t="s">
        <v>89</v>
      </c>
      <c r="B55" s="11" t="s">
        <v>90</v>
      </c>
      <c r="C55" s="24">
        <f>1880641.86/1000</f>
        <v>1880.6418600000002</v>
      </c>
    </row>
    <row r="56" spans="1:3" ht="31.5" x14ac:dyDescent="0.25">
      <c r="A56" s="10" t="s">
        <v>91</v>
      </c>
      <c r="B56" s="11" t="s">
        <v>92</v>
      </c>
      <c r="C56" s="24">
        <f>78038.11/1000</f>
        <v>78.038110000000003</v>
      </c>
    </row>
    <row r="57" spans="1:3" ht="31.5" x14ac:dyDescent="0.25">
      <c r="A57" s="10" t="s">
        <v>93</v>
      </c>
      <c r="B57" s="11" t="s">
        <v>94</v>
      </c>
      <c r="C57" s="24">
        <f>2622754.22/1000</f>
        <v>2622.7542200000003</v>
      </c>
    </row>
    <row r="58" spans="1:3" ht="31.5" x14ac:dyDescent="0.25">
      <c r="A58" s="10" t="s">
        <v>95</v>
      </c>
      <c r="B58" s="11" t="s">
        <v>96</v>
      </c>
      <c r="C58" s="24">
        <f>2466205.41/1000</f>
        <v>2466.20541</v>
      </c>
    </row>
    <row r="59" spans="1:3" ht="31.5" x14ac:dyDescent="0.25">
      <c r="A59" s="10" t="s">
        <v>97</v>
      </c>
      <c r="B59" s="11" t="s">
        <v>98</v>
      </c>
      <c r="C59" s="24">
        <f>0.1/1000</f>
        <v>1E-4</v>
      </c>
    </row>
    <row r="60" spans="1:3" ht="47.25" customHeight="1" x14ac:dyDescent="0.25">
      <c r="A60" s="10" t="s">
        <v>99</v>
      </c>
      <c r="B60" s="11" t="s">
        <v>100</v>
      </c>
      <c r="C60" s="24">
        <f>354521.56/1000</f>
        <v>354.52156000000002</v>
      </c>
    </row>
    <row r="61" spans="1:3" s="9" customFormat="1" ht="31.5" x14ac:dyDescent="0.25">
      <c r="A61" s="12" t="s">
        <v>101</v>
      </c>
      <c r="B61" s="5" t="s">
        <v>102</v>
      </c>
      <c r="C61" s="23">
        <f>C62+C63</f>
        <v>2166.9761399999998</v>
      </c>
    </row>
    <row r="62" spans="1:3" ht="31.5" x14ac:dyDescent="0.25">
      <c r="A62" s="10" t="s">
        <v>103</v>
      </c>
      <c r="B62" s="11" t="s">
        <v>104</v>
      </c>
      <c r="C62" s="24">
        <f>993225.5/1000</f>
        <v>993.22550000000001</v>
      </c>
    </row>
    <row r="63" spans="1:3" ht="31.5" x14ac:dyDescent="0.25">
      <c r="A63" s="10" t="s">
        <v>105</v>
      </c>
      <c r="B63" s="11" t="s">
        <v>106</v>
      </c>
      <c r="C63" s="24">
        <f>1173750.64/1000</f>
        <v>1173.75064</v>
      </c>
    </row>
    <row r="64" spans="1:3" s="9" customFormat="1" ht="31.5" x14ac:dyDescent="0.25">
      <c r="A64" s="12" t="s">
        <v>107</v>
      </c>
      <c r="B64" s="5" t="s">
        <v>108</v>
      </c>
      <c r="C64" s="23">
        <f>C65+C66</f>
        <v>184685.7819</v>
      </c>
    </row>
    <row r="65" spans="1:3" ht="94.5" x14ac:dyDescent="0.25">
      <c r="A65" s="10" t="s">
        <v>109</v>
      </c>
      <c r="B65" s="11" t="s">
        <v>110</v>
      </c>
      <c r="C65" s="24">
        <f>49570622.81/1000</f>
        <v>49570.622810000001</v>
      </c>
    </row>
    <row r="66" spans="1:3" ht="63" x14ac:dyDescent="0.25">
      <c r="A66" s="10" t="s">
        <v>111</v>
      </c>
      <c r="B66" s="11" t="s">
        <v>112</v>
      </c>
      <c r="C66" s="24">
        <f>135115159.09/1000</f>
        <v>135115.15909</v>
      </c>
    </row>
    <row r="67" spans="1:3" s="9" customFormat="1" x14ac:dyDescent="0.25">
      <c r="A67" s="12" t="s">
        <v>113</v>
      </c>
      <c r="B67" s="5" t="s">
        <v>114</v>
      </c>
      <c r="C67" s="23">
        <f>C68+C69+C70+C71+C72+C73+C74+C75+C76+C77+C78+C79+C80+C81+C82</f>
        <v>8278.7742500000004</v>
      </c>
    </row>
    <row r="68" spans="1:3" ht="157.5" x14ac:dyDescent="0.25">
      <c r="A68" s="10" t="s">
        <v>115</v>
      </c>
      <c r="B68" s="11" t="s">
        <v>116</v>
      </c>
      <c r="C68" s="24">
        <f>74033.25/1000</f>
        <v>74.033249999999995</v>
      </c>
    </row>
    <row r="69" spans="1:3" ht="63" x14ac:dyDescent="0.25">
      <c r="A69" s="10" t="s">
        <v>117</v>
      </c>
      <c r="B69" s="11" t="s">
        <v>118</v>
      </c>
      <c r="C69" s="24">
        <f>3176.31/1000</f>
        <v>3.17631</v>
      </c>
    </row>
    <row r="70" spans="1:3" ht="78.75" x14ac:dyDescent="0.25">
      <c r="A70" s="10" t="s">
        <v>119</v>
      </c>
      <c r="B70" s="11" t="s">
        <v>120</v>
      </c>
      <c r="C70" s="24">
        <f>52957.05/1000</f>
        <v>52.957050000000002</v>
      </c>
    </row>
    <row r="71" spans="1:3" ht="63" x14ac:dyDescent="0.25">
      <c r="A71" s="10" t="s">
        <v>121</v>
      </c>
      <c r="B71" s="11" t="s">
        <v>122</v>
      </c>
      <c r="C71" s="24">
        <f>382600/1000</f>
        <v>382.6</v>
      </c>
    </row>
    <row r="72" spans="1:3" ht="78.75" x14ac:dyDescent="0.25">
      <c r="A72" s="10" t="s">
        <v>123</v>
      </c>
      <c r="B72" s="11" t="s">
        <v>124</v>
      </c>
      <c r="C72" s="24">
        <f>32800/1000</f>
        <v>32.799999999999997</v>
      </c>
    </row>
    <row r="73" spans="1:3" ht="47.25" x14ac:dyDescent="0.25">
      <c r="A73" s="10" t="s">
        <v>125</v>
      </c>
      <c r="B73" s="11" t="s">
        <v>126</v>
      </c>
      <c r="C73" s="24">
        <f>1000/1000</f>
        <v>1</v>
      </c>
    </row>
    <row r="74" spans="1:3" ht="47.25" x14ac:dyDescent="0.25">
      <c r="A74" s="10" t="s">
        <v>127</v>
      </c>
      <c r="B74" s="11" t="s">
        <v>128</v>
      </c>
      <c r="C74" s="24">
        <f>548736.85/1000</f>
        <v>548.73685</v>
      </c>
    </row>
    <row r="75" spans="1:3" ht="31.5" x14ac:dyDescent="0.25">
      <c r="A75" s="10" t="s">
        <v>129</v>
      </c>
      <c r="B75" s="11" t="s">
        <v>130</v>
      </c>
      <c r="C75" s="24">
        <f>110900/1000</f>
        <v>110.9</v>
      </c>
    </row>
    <row r="76" spans="1:3" ht="63" x14ac:dyDescent="0.25">
      <c r="A76" s="10" t="s">
        <v>131</v>
      </c>
      <c r="B76" s="11" t="s">
        <v>132</v>
      </c>
      <c r="C76" s="24">
        <f>938100/1000</f>
        <v>938.1</v>
      </c>
    </row>
    <row r="77" spans="1:3" ht="63" x14ac:dyDescent="0.25">
      <c r="A77" s="10" t="s">
        <v>133</v>
      </c>
      <c r="B77" s="11" t="s">
        <v>134</v>
      </c>
      <c r="C77" s="24">
        <f>58005/1000</f>
        <v>58.005000000000003</v>
      </c>
    </row>
    <row r="78" spans="1:3" ht="31.5" x14ac:dyDescent="0.25">
      <c r="A78" s="10" t="s">
        <v>135</v>
      </c>
      <c r="B78" s="11" t="s">
        <v>136</v>
      </c>
      <c r="C78" s="24">
        <f>-90385/1000</f>
        <v>-90.385000000000005</v>
      </c>
    </row>
    <row r="79" spans="1:3" ht="47.25" x14ac:dyDescent="0.25">
      <c r="A79" s="10" t="s">
        <v>137</v>
      </c>
      <c r="B79" s="11" t="s">
        <v>138</v>
      </c>
      <c r="C79" s="24">
        <f>80000/1000</f>
        <v>80</v>
      </c>
    </row>
    <row r="80" spans="1:3" ht="78.75" x14ac:dyDescent="0.25">
      <c r="A80" s="10" t="s">
        <v>139</v>
      </c>
      <c r="B80" s="11" t="s">
        <v>140</v>
      </c>
      <c r="C80" s="24">
        <f>591746.53/1000</f>
        <v>591.74653000000001</v>
      </c>
    </row>
    <row r="81" spans="1:5" ht="47.25" x14ac:dyDescent="0.25">
      <c r="A81" s="10" t="s">
        <v>141</v>
      </c>
      <c r="B81" s="11" t="s">
        <v>142</v>
      </c>
      <c r="C81" s="24">
        <f>516000/1000</f>
        <v>516</v>
      </c>
    </row>
    <row r="82" spans="1:5" ht="47.25" x14ac:dyDescent="0.25">
      <c r="A82" s="10" t="s">
        <v>143</v>
      </c>
      <c r="B82" s="11" t="s">
        <v>144</v>
      </c>
      <c r="C82" s="24">
        <f>4979104.26/1000</f>
        <v>4979.1042600000001</v>
      </c>
      <c r="E82" s="14"/>
    </row>
    <row r="83" spans="1:5" s="9" customFormat="1" x14ac:dyDescent="0.25">
      <c r="A83" s="12" t="s">
        <v>145</v>
      </c>
      <c r="B83" s="5" t="s">
        <v>146</v>
      </c>
      <c r="C83" s="23">
        <f>C84+C85</f>
        <v>109.00888999999999</v>
      </c>
    </row>
    <row r="84" spans="1:5" ht="31.5" x14ac:dyDescent="0.25">
      <c r="A84" s="10" t="s">
        <v>147</v>
      </c>
      <c r="B84" s="11" t="s">
        <v>148</v>
      </c>
      <c r="C84" s="24">
        <f>-6111.99/1000</f>
        <v>-6.1119899999999996</v>
      </c>
    </row>
    <row r="85" spans="1:5" ht="31.5" x14ac:dyDescent="0.25">
      <c r="A85" s="10" t="s">
        <v>149</v>
      </c>
      <c r="B85" s="11" t="s">
        <v>150</v>
      </c>
      <c r="C85" s="24">
        <f>115120.88/1000</f>
        <v>115.12088</v>
      </c>
    </row>
    <row r="86" spans="1:5" s="9" customFormat="1" x14ac:dyDescent="0.25">
      <c r="A86" s="12" t="s">
        <v>151</v>
      </c>
      <c r="B86" s="5" t="s">
        <v>152</v>
      </c>
      <c r="C86" s="23">
        <f>C87+C88+C89+C90+C91+C92+C93+C94+C95+C96+C97+C98+C99+C100+C101+C102+C103+C104+C105+C106+C107+C108+C109+C110+C111+C112+C113+C114+C115+C116+C117+C118+C119+C120+C121+C122+C123+C124+C125+C126+C127+C128+C129</f>
        <v>990592.82799999986</v>
      </c>
    </row>
    <row r="87" spans="1:5" ht="31.5" x14ac:dyDescent="0.25">
      <c r="A87" s="10" t="s">
        <v>153</v>
      </c>
      <c r="B87" s="11" t="s">
        <v>154</v>
      </c>
      <c r="C87" s="24">
        <f>21228000/1000</f>
        <v>21228</v>
      </c>
    </row>
    <row r="88" spans="1:5" ht="31.5" x14ac:dyDescent="0.25">
      <c r="A88" s="10" t="s">
        <v>155</v>
      </c>
      <c r="B88" s="11" t="s">
        <v>156</v>
      </c>
      <c r="C88" s="24">
        <f>17281320.91/1000</f>
        <v>17281.320909999999</v>
      </c>
    </row>
    <row r="89" spans="1:5" ht="63" x14ac:dyDescent="0.25">
      <c r="A89" s="10" t="s">
        <v>157</v>
      </c>
      <c r="B89" s="11" t="s">
        <v>158</v>
      </c>
      <c r="C89" s="24">
        <f>20123287/1000</f>
        <v>20123.287</v>
      </c>
    </row>
    <row r="90" spans="1:5" ht="78.75" x14ac:dyDescent="0.25">
      <c r="A90" s="10" t="s">
        <v>159</v>
      </c>
      <c r="B90" s="11" t="s">
        <v>160</v>
      </c>
      <c r="C90" s="24">
        <f>52845563.43/1000</f>
        <v>52845.563430000002</v>
      </c>
    </row>
    <row r="91" spans="1:5" ht="31.5" x14ac:dyDescent="0.25">
      <c r="A91" s="10" t="s">
        <v>161</v>
      </c>
      <c r="B91" s="11" t="s">
        <v>162</v>
      </c>
      <c r="C91" s="24">
        <f>2696561/1000</f>
        <v>2696.5610000000001</v>
      </c>
    </row>
    <row r="92" spans="1:5" ht="46.5" customHeight="1" x14ac:dyDescent="0.25">
      <c r="A92" s="10" t="s">
        <v>163</v>
      </c>
      <c r="B92" s="11" t="s">
        <v>164</v>
      </c>
      <c r="C92" s="24">
        <f>3027824.61/1000</f>
        <v>3027.8246099999997</v>
      </c>
    </row>
    <row r="93" spans="1:5" ht="47.25" x14ac:dyDescent="0.25">
      <c r="A93" s="10" t="s">
        <v>165</v>
      </c>
      <c r="B93" s="11" t="s">
        <v>166</v>
      </c>
      <c r="C93" s="24">
        <f>14148800/1000</f>
        <v>14148.8</v>
      </c>
    </row>
    <row r="94" spans="1:5" ht="47.25" x14ac:dyDescent="0.25">
      <c r="A94" s="10" t="s">
        <v>167</v>
      </c>
      <c r="B94" s="11" t="s">
        <v>168</v>
      </c>
      <c r="C94" s="24">
        <f>165000000/1000</f>
        <v>165000</v>
      </c>
    </row>
    <row r="95" spans="1:5" ht="31.5" x14ac:dyDescent="0.25">
      <c r="A95" s="10" t="s">
        <v>169</v>
      </c>
      <c r="B95" s="11" t="s">
        <v>170</v>
      </c>
      <c r="C95" s="24">
        <f>9000000/1000</f>
        <v>9000</v>
      </c>
    </row>
    <row r="96" spans="1:5" ht="47.25" x14ac:dyDescent="0.25">
      <c r="A96" s="10" t="s">
        <v>171</v>
      </c>
      <c r="B96" s="11" t="s">
        <v>172</v>
      </c>
      <c r="C96" s="24">
        <f>499000/1000</f>
        <v>499</v>
      </c>
    </row>
    <row r="97" spans="1:3" ht="94.5" x14ac:dyDescent="0.25">
      <c r="A97" s="10" t="s">
        <v>173</v>
      </c>
      <c r="B97" s="11" t="s">
        <v>174</v>
      </c>
      <c r="C97" s="24">
        <f>825714.39/1000</f>
        <v>825.71438999999998</v>
      </c>
    </row>
    <row r="98" spans="1:3" ht="63" x14ac:dyDescent="0.25">
      <c r="A98" s="10" t="s">
        <v>175</v>
      </c>
      <c r="B98" s="11" t="s">
        <v>176</v>
      </c>
      <c r="C98" s="24">
        <f>1056000/1000</f>
        <v>1056</v>
      </c>
    </row>
    <row r="99" spans="1:3" ht="47.25" x14ac:dyDescent="0.25">
      <c r="A99" s="10" t="s">
        <v>177</v>
      </c>
      <c r="B99" s="11" t="s">
        <v>178</v>
      </c>
      <c r="C99" s="24">
        <f>4473600/1000</f>
        <v>4473.6000000000004</v>
      </c>
    </row>
    <row r="100" spans="1:3" ht="78.75" x14ac:dyDescent="0.25">
      <c r="A100" s="10" t="s">
        <v>179</v>
      </c>
      <c r="B100" s="11" t="s">
        <v>180</v>
      </c>
      <c r="C100" s="24">
        <f>6425000/1000</f>
        <v>6425</v>
      </c>
    </row>
    <row r="101" spans="1:3" ht="110.25" x14ac:dyDescent="0.25">
      <c r="A101" s="10" t="s">
        <v>181</v>
      </c>
      <c r="B101" s="11" t="s">
        <v>182</v>
      </c>
      <c r="C101" s="24">
        <f>68390000/1000</f>
        <v>68390</v>
      </c>
    </row>
    <row r="102" spans="1:3" ht="47.25" x14ac:dyDescent="0.25">
      <c r="A102" s="10" t="s">
        <v>183</v>
      </c>
      <c r="B102" s="11" t="s">
        <v>184</v>
      </c>
      <c r="C102" s="24">
        <f>700000/1000</f>
        <v>700</v>
      </c>
    </row>
    <row r="103" spans="1:3" ht="78.75" x14ac:dyDescent="0.25">
      <c r="A103" s="10" t="s">
        <v>185</v>
      </c>
      <c r="B103" s="11" t="s">
        <v>186</v>
      </c>
      <c r="C103" s="24">
        <f>16877000/1000</f>
        <v>16877</v>
      </c>
    </row>
    <row r="104" spans="1:3" ht="94.5" customHeight="1" x14ac:dyDescent="0.25">
      <c r="A104" s="10" t="s">
        <v>187</v>
      </c>
      <c r="B104" s="11" t="s">
        <v>188</v>
      </c>
      <c r="C104" s="24">
        <f>4960000/1000</f>
        <v>4960</v>
      </c>
    </row>
    <row r="105" spans="1:3" ht="108.75" customHeight="1" x14ac:dyDescent="0.25">
      <c r="A105" s="10" t="s">
        <v>189</v>
      </c>
      <c r="B105" s="11" t="s">
        <v>190</v>
      </c>
      <c r="C105" s="24">
        <f>10820000/1000</f>
        <v>10820</v>
      </c>
    </row>
    <row r="106" spans="1:3" ht="63" x14ac:dyDescent="0.25">
      <c r="A106" s="10" t="s">
        <v>191</v>
      </c>
      <c r="B106" s="11" t="s">
        <v>192</v>
      </c>
      <c r="C106" s="24">
        <f>558589.8/1000</f>
        <v>558.58980000000008</v>
      </c>
    </row>
    <row r="107" spans="1:3" ht="47.25" x14ac:dyDescent="0.25">
      <c r="A107" s="10" t="s">
        <v>193</v>
      </c>
      <c r="B107" s="11" t="s">
        <v>194</v>
      </c>
      <c r="C107" s="24">
        <f>9498200/1000</f>
        <v>9498.2000000000007</v>
      </c>
    </row>
    <row r="108" spans="1:3" ht="47.25" x14ac:dyDescent="0.25">
      <c r="A108" s="10" t="s">
        <v>195</v>
      </c>
      <c r="B108" s="11" t="s">
        <v>196</v>
      </c>
      <c r="C108" s="24">
        <f>1635200/1000</f>
        <v>1635.2</v>
      </c>
    </row>
    <row r="109" spans="1:3" ht="47.25" x14ac:dyDescent="0.25">
      <c r="A109" s="10" t="s">
        <v>197</v>
      </c>
      <c r="B109" s="11" t="s">
        <v>198</v>
      </c>
      <c r="C109" s="24">
        <f>441100/1000</f>
        <v>441.1</v>
      </c>
    </row>
    <row r="110" spans="1:3" ht="47.25" x14ac:dyDescent="0.25">
      <c r="A110" s="10" t="s">
        <v>199</v>
      </c>
      <c r="B110" s="11" t="s">
        <v>200</v>
      </c>
      <c r="C110" s="24">
        <f>2924300/1000</f>
        <v>2924.3</v>
      </c>
    </row>
    <row r="111" spans="1:3" ht="110.25" x14ac:dyDescent="0.25">
      <c r="A111" s="10" t="s">
        <v>201</v>
      </c>
      <c r="B111" s="11" t="s">
        <v>202</v>
      </c>
      <c r="C111" s="24">
        <f>3287238.17/1000</f>
        <v>3287.2381700000001</v>
      </c>
    </row>
    <row r="112" spans="1:3" ht="222" customHeight="1" x14ac:dyDescent="0.25">
      <c r="A112" s="10" t="s">
        <v>203</v>
      </c>
      <c r="B112" s="11" t="s">
        <v>204</v>
      </c>
      <c r="C112" s="24">
        <f>419059000/1000</f>
        <v>419059</v>
      </c>
    </row>
    <row r="113" spans="1:3" ht="78.75" x14ac:dyDescent="0.25">
      <c r="A113" s="10" t="s">
        <v>205</v>
      </c>
      <c r="B113" s="11" t="s">
        <v>206</v>
      </c>
      <c r="C113" s="24">
        <f>29997700/1000</f>
        <v>29997.7</v>
      </c>
    </row>
    <row r="114" spans="1:3" ht="63" x14ac:dyDescent="0.25">
      <c r="A114" s="10" t="s">
        <v>207</v>
      </c>
      <c r="B114" s="11" t="s">
        <v>208</v>
      </c>
      <c r="C114" s="24">
        <f>2394000/1000</f>
        <v>2394</v>
      </c>
    </row>
    <row r="115" spans="1:3" ht="110.25" x14ac:dyDescent="0.25">
      <c r="A115" s="10" t="s">
        <v>209</v>
      </c>
      <c r="B115" s="11" t="s">
        <v>210</v>
      </c>
      <c r="C115" s="24">
        <f>484000/1000</f>
        <v>484</v>
      </c>
    </row>
    <row r="116" spans="1:3" ht="31.5" x14ac:dyDescent="0.25">
      <c r="A116" s="10" t="s">
        <v>211</v>
      </c>
      <c r="B116" s="11" t="s">
        <v>212</v>
      </c>
      <c r="C116" s="24">
        <f>2803000/1000</f>
        <v>2803</v>
      </c>
    </row>
    <row r="117" spans="1:3" ht="32.25" customHeight="1" x14ac:dyDescent="0.25">
      <c r="A117" s="10" t="s">
        <v>213</v>
      </c>
      <c r="B117" s="11" t="s">
        <v>214</v>
      </c>
      <c r="C117" s="24">
        <f>3516400/1000</f>
        <v>3516.4</v>
      </c>
    </row>
    <row r="118" spans="1:3" ht="31.5" x14ac:dyDescent="0.25">
      <c r="A118" s="10" t="s">
        <v>215</v>
      </c>
      <c r="B118" s="11" t="s">
        <v>216</v>
      </c>
      <c r="C118" s="24">
        <f>16449500/1000</f>
        <v>16449.5</v>
      </c>
    </row>
    <row r="119" spans="1:3" ht="78.75" x14ac:dyDescent="0.25">
      <c r="A119" s="10" t="s">
        <v>217</v>
      </c>
      <c r="B119" s="11" t="s">
        <v>218</v>
      </c>
      <c r="C119" s="24">
        <f>20319000/1000</f>
        <v>20319</v>
      </c>
    </row>
    <row r="120" spans="1:3" ht="47.25" x14ac:dyDescent="0.25">
      <c r="A120" s="10" t="s">
        <v>219</v>
      </c>
      <c r="B120" s="11" t="s">
        <v>220</v>
      </c>
      <c r="C120" s="24">
        <f>8177900/1000</f>
        <v>8177.9</v>
      </c>
    </row>
    <row r="121" spans="1:3" ht="78.75" x14ac:dyDescent="0.25">
      <c r="A121" s="10" t="s">
        <v>221</v>
      </c>
      <c r="B121" s="11" t="s">
        <v>222</v>
      </c>
      <c r="C121" s="24">
        <f>1709400/1000</f>
        <v>1709.4</v>
      </c>
    </row>
    <row r="122" spans="1:3" ht="63" x14ac:dyDescent="0.25">
      <c r="A122" s="10" t="s">
        <v>223</v>
      </c>
      <c r="B122" s="11" t="s">
        <v>224</v>
      </c>
      <c r="C122" s="24">
        <f>247000/1000</f>
        <v>247</v>
      </c>
    </row>
    <row r="123" spans="1:3" ht="63" x14ac:dyDescent="0.25">
      <c r="A123" s="10" t="s">
        <v>225</v>
      </c>
      <c r="B123" s="11" t="s">
        <v>226</v>
      </c>
      <c r="C123" s="24">
        <f>300000/1000</f>
        <v>300</v>
      </c>
    </row>
    <row r="124" spans="1:3" ht="31.5" x14ac:dyDescent="0.25">
      <c r="A124" s="10" t="s">
        <v>227</v>
      </c>
      <c r="B124" s="11" t="s">
        <v>228</v>
      </c>
      <c r="C124" s="24">
        <f>94500/1000</f>
        <v>94.5</v>
      </c>
    </row>
    <row r="125" spans="1:3" ht="93" customHeight="1" x14ac:dyDescent="0.25">
      <c r="A125" s="10" t="s">
        <v>229</v>
      </c>
      <c r="B125" s="11" t="s">
        <v>230</v>
      </c>
      <c r="C125" s="24">
        <f>42952700/1000</f>
        <v>42952.7</v>
      </c>
    </row>
    <row r="126" spans="1:3" ht="63" x14ac:dyDescent="0.25">
      <c r="A126" s="10" t="s">
        <v>231</v>
      </c>
      <c r="B126" s="11" t="s">
        <v>232</v>
      </c>
      <c r="C126" s="24">
        <f>1418686.5/1000</f>
        <v>1418.6865</v>
      </c>
    </row>
    <row r="127" spans="1:3" ht="108.75" customHeight="1" x14ac:dyDescent="0.25">
      <c r="A127" s="10" t="s">
        <v>233</v>
      </c>
      <c r="B127" s="11" t="s">
        <v>234</v>
      </c>
      <c r="C127" s="24">
        <f>4296866.66/1000</f>
        <v>4296.8666600000006</v>
      </c>
    </row>
    <row r="128" spans="1:3" ht="47.25" x14ac:dyDescent="0.25">
      <c r="A128" s="10" t="s">
        <v>235</v>
      </c>
      <c r="B128" s="11" t="s">
        <v>236</v>
      </c>
      <c r="C128" s="24">
        <f>3404566.15/1000</f>
        <v>3404.5661500000001</v>
      </c>
    </row>
    <row r="129" spans="1:3" ht="63" x14ac:dyDescent="0.25">
      <c r="A129" s="10" t="s">
        <v>237</v>
      </c>
      <c r="B129" s="11" t="s">
        <v>238</v>
      </c>
      <c r="C129" s="24">
        <f>-5753690.62/1000</f>
        <v>-5753.6906200000003</v>
      </c>
    </row>
  </sheetData>
  <mergeCells count="6">
    <mergeCell ref="B8:C8"/>
    <mergeCell ref="B1:C1"/>
    <mergeCell ref="B2:C2"/>
    <mergeCell ref="B3:C3"/>
    <mergeCell ref="B4:C4"/>
    <mergeCell ref="A5:C6"/>
  </mergeCells>
  <printOptions horizontalCentered="1"/>
  <pageMargins left="0.9055118110236221" right="0.31496062992125984" top="0.35433070866141736" bottom="0.35433070866141736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сокр</vt:lpstr>
      <vt:lpstr>'доходы сокр'!Заголовки_для_печати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Зверева Людмила Александровна</cp:lastModifiedBy>
  <cp:lastPrinted>2014-03-12T07:24:58Z</cp:lastPrinted>
  <dcterms:created xsi:type="dcterms:W3CDTF">2014-03-11T13:09:20Z</dcterms:created>
  <dcterms:modified xsi:type="dcterms:W3CDTF">2014-03-12T07:25:08Z</dcterms:modified>
</cp:coreProperties>
</file>